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18. FV\"/>
    </mc:Choice>
  </mc:AlternateContent>
  <workbookProtection workbookPassword="DE31" lockStructure="1"/>
  <bookViews>
    <workbookView xWindow="0" yWindow="0" windowWidth="28800" windowHeight="12030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N50" i="14" l="1"/>
  <c r="L50" i="14"/>
  <c r="K50" i="14"/>
  <c r="J50" i="14"/>
  <c r="E50" i="14"/>
  <c r="E49" i="14" s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V73" i="4" l="1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3" i="13" l="1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14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7" i="13"/>
  <c r="P22" i="13"/>
  <c r="P18" i="13"/>
  <c r="P106" i="13"/>
  <c r="P101" i="13"/>
  <c r="P96" i="13"/>
  <c r="P92" i="13"/>
  <c r="P88" i="13"/>
  <c r="P84" i="13"/>
  <c r="P67" i="13"/>
  <c r="P63" i="13"/>
  <c r="P58" i="13"/>
  <c r="P54" i="13"/>
  <c r="P50" i="13"/>
  <c r="P35" i="13"/>
  <c r="P30" i="13"/>
  <c r="P25" i="13"/>
  <c r="P21" i="13"/>
  <c r="P17" i="13"/>
  <c r="P13" i="13"/>
  <c r="P12" i="13"/>
  <c r="P104" i="13"/>
  <c r="P100" i="13"/>
  <c r="P95" i="13"/>
  <c r="P91" i="13"/>
  <c r="P87" i="13"/>
  <c r="P83" i="13"/>
  <c r="P66" i="13"/>
  <c r="P61" i="13"/>
  <c r="P57" i="13"/>
  <c r="P53" i="13"/>
  <c r="P49" i="13"/>
  <c r="P34" i="13"/>
  <c r="P29" i="13"/>
  <c r="P24" i="13"/>
  <c r="P20" i="13"/>
  <c r="P16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N108" i="14"/>
  <c r="L108" i="14"/>
  <c r="K108" i="14"/>
  <c r="J108" i="14"/>
  <c r="E108" i="14"/>
  <c r="N107" i="14"/>
  <c r="L107" i="14"/>
  <c r="K107" i="14"/>
  <c r="J107" i="14"/>
  <c r="E107" i="14"/>
  <c r="N105" i="14"/>
  <c r="L105" i="14"/>
  <c r="K105" i="14"/>
  <c r="J105" i="14"/>
  <c r="E105" i="14"/>
  <c r="N104" i="14"/>
  <c r="L104" i="14"/>
  <c r="K104" i="14"/>
  <c r="J104" i="14"/>
  <c r="E104" i="14"/>
  <c r="N103" i="14"/>
  <c r="L103" i="14"/>
  <c r="K103" i="14"/>
  <c r="J103" i="14"/>
  <c r="E103" i="14"/>
  <c r="N102" i="14"/>
  <c r="L102" i="14"/>
  <c r="K102" i="14"/>
  <c r="J102" i="14"/>
  <c r="E102" i="14"/>
  <c r="N101" i="14"/>
  <c r="L101" i="14"/>
  <c r="K101" i="14"/>
  <c r="J101" i="14"/>
  <c r="E101" i="14"/>
  <c r="N99" i="14"/>
  <c r="L99" i="14"/>
  <c r="K99" i="14"/>
  <c r="J99" i="14"/>
  <c r="E99" i="14"/>
  <c r="N98" i="14"/>
  <c r="L98" i="14"/>
  <c r="K98" i="14"/>
  <c r="J98" i="14"/>
  <c r="E98" i="14"/>
  <c r="N97" i="14"/>
  <c r="L97" i="14"/>
  <c r="K97" i="14"/>
  <c r="J97" i="14"/>
  <c r="E97" i="14"/>
  <c r="N96" i="14"/>
  <c r="L96" i="14"/>
  <c r="K96" i="14"/>
  <c r="J96" i="14"/>
  <c r="E96" i="14"/>
  <c r="N95" i="14"/>
  <c r="L95" i="14"/>
  <c r="K95" i="14"/>
  <c r="J95" i="14"/>
  <c r="E95" i="14"/>
  <c r="N94" i="14"/>
  <c r="L94" i="14"/>
  <c r="K94" i="14"/>
  <c r="J94" i="14"/>
  <c r="E94" i="14"/>
  <c r="N93" i="14"/>
  <c r="L93" i="14"/>
  <c r="K93" i="14"/>
  <c r="J93" i="14"/>
  <c r="E93" i="14"/>
  <c r="E81" i="14"/>
  <c r="J81" i="14"/>
  <c r="K81" i="14"/>
  <c r="L81" i="14"/>
  <c r="N81" i="14"/>
  <c r="E82" i="14"/>
  <c r="J82" i="14"/>
  <c r="K82" i="14"/>
  <c r="L82" i="14"/>
  <c r="N82" i="14"/>
  <c r="E83" i="14"/>
  <c r="J83" i="14"/>
  <c r="K83" i="14"/>
  <c r="L83" i="14"/>
  <c r="N83" i="14"/>
  <c r="E84" i="14"/>
  <c r="J84" i="14"/>
  <c r="K84" i="14"/>
  <c r="L84" i="14"/>
  <c r="N84" i="14"/>
  <c r="E85" i="14"/>
  <c r="J85" i="14"/>
  <c r="K85" i="14"/>
  <c r="L85" i="14"/>
  <c r="N85" i="14"/>
  <c r="E87" i="14"/>
  <c r="J87" i="14"/>
  <c r="K87" i="14"/>
  <c r="L87" i="14"/>
  <c r="N87" i="14"/>
  <c r="N88" i="14"/>
  <c r="L88" i="14"/>
  <c r="K88" i="14"/>
  <c r="J88" i="14"/>
  <c r="E88" i="14"/>
  <c r="N79" i="14"/>
  <c r="L79" i="14"/>
  <c r="K79" i="14"/>
  <c r="J79" i="14"/>
  <c r="E79" i="14"/>
  <c r="N78" i="14"/>
  <c r="L78" i="14"/>
  <c r="K78" i="14"/>
  <c r="J78" i="14"/>
  <c r="E78" i="14"/>
  <c r="N77" i="14"/>
  <c r="L77" i="14"/>
  <c r="K77" i="14"/>
  <c r="J77" i="14"/>
  <c r="E77" i="14"/>
  <c r="N76" i="14"/>
  <c r="L76" i="14"/>
  <c r="K76" i="14"/>
  <c r="J76" i="14"/>
  <c r="E76" i="14"/>
  <c r="N75" i="14"/>
  <c r="L75" i="14"/>
  <c r="K75" i="14"/>
  <c r="J75" i="14"/>
  <c r="E75" i="14"/>
  <c r="N74" i="14"/>
  <c r="L74" i="14"/>
  <c r="K74" i="14"/>
  <c r="J74" i="14"/>
  <c r="E74" i="14"/>
  <c r="N73" i="14"/>
  <c r="L73" i="14"/>
  <c r="K73" i="14"/>
  <c r="J73" i="14"/>
  <c r="E73" i="14"/>
  <c r="E86" i="14" l="1"/>
  <c r="P86" i="14"/>
  <c r="L86" i="14"/>
  <c r="K86" i="14"/>
  <c r="N86" i="14"/>
  <c r="J86" i="14"/>
  <c r="N68" i="14"/>
  <c r="L68" i="14"/>
  <c r="K68" i="14"/>
  <c r="J68" i="14"/>
  <c r="E68" i="14"/>
  <c r="N67" i="14"/>
  <c r="L67" i="14"/>
  <c r="K67" i="14"/>
  <c r="J67" i="14"/>
  <c r="E67" i="14"/>
  <c r="N66" i="14"/>
  <c r="L66" i="14"/>
  <c r="K66" i="14"/>
  <c r="J66" i="14"/>
  <c r="E66" i="14"/>
  <c r="N65" i="14"/>
  <c r="L65" i="14"/>
  <c r="K65" i="14"/>
  <c r="J65" i="14"/>
  <c r="E65" i="14"/>
  <c r="N64" i="14"/>
  <c r="L64" i="14"/>
  <c r="K64" i="14"/>
  <c r="J64" i="14"/>
  <c r="E64" i="14"/>
  <c r="N62" i="14"/>
  <c r="L62" i="14"/>
  <c r="K62" i="14"/>
  <c r="J62" i="14"/>
  <c r="E62" i="14"/>
  <c r="N61" i="14"/>
  <c r="L61" i="14"/>
  <c r="K61" i="14"/>
  <c r="J61" i="14"/>
  <c r="E61" i="14"/>
  <c r="N60" i="14"/>
  <c r="L60" i="14"/>
  <c r="K60" i="14"/>
  <c r="J60" i="14"/>
  <c r="E60" i="14"/>
  <c r="N57" i="14"/>
  <c r="L57" i="14"/>
  <c r="K57" i="14"/>
  <c r="J57" i="14"/>
  <c r="E57" i="14"/>
  <c r="N56" i="14"/>
  <c r="L56" i="14"/>
  <c r="K56" i="14"/>
  <c r="J56" i="14"/>
  <c r="E56" i="14"/>
  <c r="N55" i="14"/>
  <c r="L55" i="14"/>
  <c r="K55" i="14"/>
  <c r="J55" i="14"/>
  <c r="E55" i="14"/>
  <c r="N54" i="14"/>
  <c r="L54" i="14"/>
  <c r="K54" i="14"/>
  <c r="J54" i="14"/>
  <c r="E54" i="14"/>
  <c r="N52" i="14"/>
  <c r="L52" i="14"/>
  <c r="K52" i="14"/>
  <c r="J52" i="14"/>
  <c r="E52" i="14"/>
  <c r="N48" i="14"/>
  <c r="L48" i="14"/>
  <c r="K48" i="14"/>
  <c r="J48" i="14"/>
  <c r="E48" i="14"/>
  <c r="N47" i="14"/>
  <c r="L47" i="14"/>
  <c r="K47" i="14"/>
  <c r="J47" i="14"/>
  <c r="E47" i="14"/>
  <c r="N46" i="14"/>
  <c r="L46" i="14"/>
  <c r="K46" i="14"/>
  <c r="J46" i="14"/>
  <c r="E46" i="14"/>
  <c r="N45" i="14"/>
  <c r="L45" i="14"/>
  <c r="K45" i="14"/>
  <c r="J45" i="14"/>
  <c r="E45" i="14"/>
  <c r="N44" i="14"/>
  <c r="L44" i="14"/>
  <c r="K44" i="14"/>
  <c r="J44" i="14"/>
  <c r="E44" i="14"/>
  <c r="N43" i="14"/>
  <c r="L43" i="14"/>
  <c r="K43" i="14"/>
  <c r="J43" i="14"/>
  <c r="E43" i="14"/>
  <c r="N41" i="14"/>
  <c r="L41" i="14"/>
  <c r="K41" i="14"/>
  <c r="J41" i="14"/>
  <c r="E41" i="14"/>
  <c r="N40" i="14"/>
  <c r="L40" i="14"/>
  <c r="K40" i="14"/>
  <c r="J40" i="14"/>
  <c r="E40" i="14"/>
  <c r="L59" i="14" l="1"/>
  <c r="K59" i="14"/>
  <c r="J59" i="14"/>
  <c r="N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N37" i="14" l="1"/>
  <c r="L37" i="14"/>
  <c r="K37" i="14"/>
  <c r="J37" i="14"/>
  <c r="E37" i="14"/>
  <c r="N36" i="14"/>
  <c r="L36" i="14"/>
  <c r="K36" i="14"/>
  <c r="J36" i="14"/>
  <c r="E36" i="14"/>
  <c r="N35" i="14"/>
  <c r="L35" i="14"/>
  <c r="K35" i="14"/>
  <c r="J35" i="14"/>
  <c r="E35" i="14"/>
  <c r="N34" i="14"/>
  <c r="L34" i="14"/>
  <c r="K34" i="14"/>
  <c r="J34" i="14"/>
  <c r="E34" i="14"/>
  <c r="N32" i="14"/>
  <c r="L32" i="14"/>
  <c r="K32" i="14"/>
  <c r="J32" i="14"/>
  <c r="E32" i="14"/>
  <c r="N31" i="14"/>
  <c r="L31" i="14"/>
  <c r="K31" i="14"/>
  <c r="J31" i="14"/>
  <c r="E31" i="14"/>
  <c r="N29" i="14"/>
  <c r="L29" i="14"/>
  <c r="K29" i="14"/>
  <c r="J29" i="14"/>
  <c r="E29" i="14"/>
  <c r="N28" i="14"/>
  <c r="L28" i="14"/>
  <c r="K28" i="14"/>
  <c r="J28" i="14"/>
  <c r="E28" i="14"/>
  <c r="N27" i="14"/>
  <c r="L27" i="14"/>
  <c r="K27" i="14"/>
  <c r="J27" i="14"/>
  <c r="E27" i="14"/>
  <c r="N26" i="14"/>
  <c r="L26" i="14"/>
  <c r="K26" i="14"/>
  <c r="J26" i="14"/>
  <c r="E26" i="14"/>
  <c r="N25" i="14"/>
  <c r="L25" i="14"/>
  <c r="K25" i="14"/>
  <c r="J25" i="14"/>
  <c r="E25" i="14"/>
  <c r="N24" i="14"/>
  <c r="L24" i="14"/>
  <c r="K24" i="14"/>
  <c r="J24" i="14"/>
  <c r="E24" i="14"/>
  <c r="N22" i="14"/>
  <c r="L22" i="14"/>
  <c r="K22" i="14"/>
  <c r="J22" i="14"/>
  <c r="E22" i="14"/>
  <c r="N21" i="14"/>
  <c r="L21" i="14"/>
  <c r="K21" i="14"/>
  <c r="J21" i="14"/>
  <c r="E21" i="14"/>
  <c r="N20" i="14"/>
  <c r="L20" i="14"/>
  <c r="K20" i="14"/>
  <c r="J20" i="14"/>
  <c r="E20" i="14"/>
  <c r="N18" i="14"/>
  <c r="L18" i="14"/>
  <c r="K18" i="14"/>
  <c r="J18" i="14"/>
  <c r="E18" i="14"/>
  <c r="N17" i="14"/>
  <c r="L17" i="14"/>
  <c r="K17" i="14"/>
  <c r="J17" i="14"/>
  <c r="E17" i="14"/>
  <c r="N16" i="14"/>
  <c r="L16" i="14"/>
  <c r="K16" i="14"/>
  <c r="J16" i="14"/>
  <c r="E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O36" i="14" s="1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L14" i="14"/>
  <c r="K14" i="14"/>
  <c r="J14" i="14"/>
  <c r="I14" i="14"/>
  <c r="F14" i="14"/>
  <c r="O13" i="14"/>
  <c r="N13" i="14"/>
  <c r="M13" i="14"/>
  <c r="K13" i="14"/>
  <c r="J13" i="14"/>
  <c r="I13" i="14"/>
  <c r="H13" i="14"/>
  <c r="F13" i="14"/>
  <c r="E13" i="14"/>
  <c r="O12" i="14"/>
  <c r="N12" i="14"/>
  <c r="M12" i="14"/>
  <c r="K12" i="14"/>
  <c r="J12" i="14"/>
  <c r="I12" i="14"/>
  <c r="H12" i="14"/>
  <c r="F12" i="14"/>
  <c r="O11" i="14"/>
  <c r="N11" i="14"/>
  <c r="M11" i="14"/>
  <c r="L11" i="14"/>
  <c r="K11" i="14"/>
  <c r="J11" i="14"/>
  <c r="I11" i="14"/>
  <c r="H11" i="14"/>
  <c r="F11" i="14"/>
  <c r="E11" i="14"/>
  <c r="O10" i="14"/>
  <c r="N10" i="14"/>
  <c r="M10" i="14"/>
  <c r="L10" i="14"/>
  <c r="K10" i="14"/>
  <c r="J10" i="14"/>
  <c r="I10" i="14"/>
  <c r="H10" i="14"/>
  <c r="F10" i="14"/>
  <c r="O8" i="14"/>
  <c r="N8" i="14"/>
  <c r="M8" i="14"/>
  <c r="K8" i="14"/>
  <c r="J8" i="14"/>
  <c r="I8" i="14"/>
  <c r="H8" i="14"/>
  <c r="F8" i="14"/>
  <c r="E8" i="14"/>
  <c r="O7" i="14"/>
  <c r="N7" i="14"/>
  <c r="M7" i="14"/>
  <c r="K7" i="14"/>
  <c r="J7" i="14"/>
  <c r="I7" i="14"/>
  <c r="H7" i="14"/>
  <c r="F7" i="14"/>
  <c r="D7" i="14"/>
  <c r="O6" i="14"/>
  <c r="N6" i="14"/>
  <c r="M6" i="14"/>
  <c r="L6" i="14"/>
  <c r="K6" i="14"/>
  <c r="J6" i="14"/>
  <c r="I6" i="14"/>
  <c r="H6" i="14"/>
  <c r="F6" i="14"/>
  <c r="E6" i="14"/>
  <c r="D6" i="14"/>
  <c r="D28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I34" i="14" l="1"/>
  <c r="F82" i="14"/>
  <c r="F84" i="14"/>
  <c r="F87" i="14"/>
  <c r="F108" i="14"/>
  <c r="F105" i="14"/>
  <c r="F103" i="14"/>
  <c r="F101" i="14"/>
  <c r="F98" i="14"/>
  <c r="F96" i="14"/>
  <c r="F94" i="14"/>
  <c r="F88" i="14"/>
  <c r="F78" i="14"/>
  <c r="F76" i="14"/>
  <c r="F74" i="14"/>
  <c r="F73" i="14"/>
  <c r="F81" i="14"/>
  <c r="F83" i="14"/>
  <c r="F85" i="14"/>
  <c r="F107" i="14"/>
  <c r="F104" i="14"/>
  <c r="F102" i="14"/>
  <c r="F99" i="14"/>
  <c r="F97" i="14"/>
  <c r="F95" i="14"/>
  <c r="F93" i="14"/>
  <c r="F79" i="14"/>
  <c r="F77" i="14"/>
  <c r="F75" i="14"/>
  <c r="F50" i="14"/>
  <c r="F49" i="14" s="1"/>
  <c r="F47" i="14"/>
  <c r="F45" i="14"/>
  <c r="F43" i="14"/>
  <c r="F67" i="14"/>
  <c r="F65" i="14"/>
  <c r="F62" i="14"/>
  <c r="F60" i="14"/>
  <c r="F56" i="14"/>
  <c r="F54" i="14"/>
  <c r="F48" i="14"/>
  <c r="F46" i="14"/>
  <c r="F44" i="14"/>
  <c r="F41" i="14"/>
  <c r="F68" i="14"/>
  <c r="F66" i="14"/>
  <c r="F64" i="14"/>
  <c r="F61" i="14"/>
  <c r="F57" i="14"/>
  <c r="F55" i="14"/>
  <c r="F52" i="14"/>
  <c r="F40" i="14"/>
  <c r="F16" i="14"/>
  <c r="F18" i="14"/>
  <c r="F21" i="14"/>
  <c r="F24" i="14"/>
  <c r="F26" i="14"/>
  <c r="F28" i="14"/>
  <c r="F31" i="14"/>
  <c r="F34" i="14"/>
  <c r="F36" i="14"/>
  <c r="F17" i="14"/>
  <c r="F20" i="14"/>
  <c r="F22" i="14"/>
  <c r="F25" i="14"/>
  <c r="F27" i="14"/>
  <c r="F29" i="14"/>
  <c r="F32" i="14"/>
  <c r="F35" i="14"/>
  <c r="F37" i="14"/>
  <c r="O107" i="14"/>
  <c r="O102" i="14"/>
  <c r="O97" i="14"/>
  <c r="O93" i="14"/>
  <c r="O82" i="14"/>
  <c r="O87" i="14"/>
  <c r="O79" i="14"/>
  <c r="O75" i="14"/>
  <c r="O74" i="14"/>
  <c r="O108" i="14"/>
  <c r="O103" i="14"/>
  <c r="O98" i="14"/>
  <c r="O94" i="14"/>
  <c r="O81" i="14"/>
  <c r="O85" i="14"/>
  <c r="O88" i="14"/>
  <c r="O76" i="14"/>
  <c r="O73" i="14"/>
  <c r="O104" i="14"/>
  <c r="O99" i="14"/>
  <c r="O95" i="14"/>
  <c r="O84" i="14"/>
  <c r="O77" i="14"/>
  <c r="O105" i="14"/>
  <c r="O101" i="14"/>
  <c r="O96" i="14"/>
  <c r="O83" i="14"/>
  <c r="O78" i="14"/>
  <c r="O16" i="14"/>
  <c r="O21" i="14"/>
  <c r="O26" i="14"/>
  <c r="O31" i="14"/>
  <c r="O50" i="14"/>
  <c r="O68" i="14"/>
  <c r="O64" i="14"/>
  <c r="O57" i="14"/>
  <c r="O52" i="14"/>
  <c r="O48" i="14"/>
  <c r="O44" i="14"/>
  <c r="O40" i="14"/>
  <c r="O65" i="14"/>
  <c r="O60" i="14"/>
  <c r="O54" i="14"/>
  <c r="O45" i="14"/>
  <c r="O66" i="14"/>
  <c r="O61" i="14"/>
  <c r="O55" i="14"/>
  <c r="O46" i="14"/>
  <c r="O41" i="14"/>
  <c r="O67" i="14"/>
  <c r="O62" i="14"/>
  <c r="O56" i="14"/>
  <c r="O47" i="14"/>
  <c r="O43" i="14"/>
  <c r="O20" i="14"/>
  <c r="O25" i="14"/>
  <c r="O29" i="14"/>
  <c r="O35" i="14"/>
  <c r="O18" i="14"/>
  <c r="O24" i="14"/>
  <c r="O28" i="14"/>
  <c r="O34" i="14"/>
  <c r="O17" i="14"/>
  <c r="O22" i="14"/>
  <c r="O27" i="14"/>
  <c r="O32" i="14"/>
  <c r="O37" i="14"/>
  <c r="M37" i="14"/>
  <c r="M14" i="14"/>
  <c r="M16" i="14"/>
  <c r="M17" i="14"/>
  <c r="M18" i="14"/>
  <c r="M20" i="14"/>
  <c r="M21" i="14"/>
  <c r="M22" i="14"/>
  <c r="M24" i="14"/>
  <c r="M25" i="14"/>
  <c r="M26" i="14"/>
  <c r="M27" i="14"/>
  <c r="M28" i="14"/>
  <c r="M29" i="14"/>
  <c r="M31" i="14"/>
  <c r="M32" i="14"/>
  <c r="M34" i="14"/>
  <c r="M35" i="14"/>
  <c r="M36" i="14"/>
  <c r="M74" i="14"/>
  <c r="M81" i="14"/>
  <c r="M82" i="14"/>
  <c r="M83" i="14"/>
  <c r="M84" i="14"/>
  <c r="M85" i="14"/>
  <c r="M87" i="14"/>
  <c r="M108" i="14"/>
  <c r="M107" i="14"/>
  <c r="M105" i="14"/>
  <c r="M104" i="14"/>
  <c r="M103" i="14"/>
  <c r="M102" i="14"/>
  <c r="M101" i="14"/>
  <c r="M99" i="14"/>
  <c r="M98" i="14"/>
  <c r="M97" i="14"/>
  <c r="M96" i="14"/>
  <c r="M95" i="14"/>
  <c r="M94" i="14"/>
  <c r="M93" i="14"/>
  <c r="M88" i="14"/>
  <c r="M79" i="14"/>
  <c r="M78" i="14"/>
  <c r="M77" i="14"/>
  <c r="M76" i="14"/>
  <c r="M75" i="14"/>
  <c r="M73" i="14"/>
  <c r="M50" i="14"/>
  <c r="M48" i="14"/>
  <c r="M47" i="14"/>
  <c r="M46" i="14"/>
  <c r="M45" i="14"/>
  <c r="M44" i="14"/>
  <c r="M43" i="14"/>
  <c r="M41" i="14"/>
  <c r="M40" i="14"/>
  <c r="M68" i="14"/>
  <c r="M67" i="14"/>
  <c r="M66" i="14"/>
  <c r="M65" i="14"/>
  <c r="M64" i="14"/>
  <c r="M62" i="14"/>
  <c r="M61" i="14"/>
  <c r="M60" i="14"/>
  <c r="M57" i="14"/>
  <c r="M56" i="14"/>
  <c r="M55" i="14"/>
  <c r="M54" i="14"/>
  <c r="M52" i="14"/>
  <c r="I16" i="14"/>
  <c r="I21" i="14"/>
  <c r="I26" i="14"/>
  <c r="I31" i="14"/>
  <c r="I36" i="14"/>
  <c r="I17" i="14"/>
  <c r="I22" i="14"/>
  <c r="I27" i="14"/>
  <c r="I32" i="14"/>
  <c r="I37" i="14"/>
  <c r="I107" i="14"/>
  <c r="I102" i="14"/>
  <c r="I97" i="14"/>
  <c r="I93" i="14"/>
  <c r="I84" i="14"/>
  <c r="I79" i="14"/>
  <c r="I75" i="14"/>
  <c r="I105" i="14"/>
  <c r="I101" i="14"/>
  <c r="I96" i="14"/>
  <c r="I81" i="14"/>
  <c r="I85" i="14"/>
  <c r="I78" i="14"/>
  <c r="I104" i="14"/>
  <c r="I99" i="14"/>
  <c r="I95" i="14"/>
  <c r="I82" i="14"/>
  <c r="I87" i="14"/>
  <c r="I77" i="14"/>
  <c r="I74" i="14"/>
  <c r="I73" i="14"/>
  <c r="I108" i="14"/>
  <c r="I103" i="14"/>
  <c r="I98" i="14"/>
  <c r="I94" i="14"/>
  <c r="I83" i="14"/>
  <c r="I88" i="14"/>
  <c r="I76" i="14"/>
  <c r="I18" i="14"/>
  <c r="I24" i="14"/>
  <c r="I28" i="14"/>
  <c r="I50" i="14"/>
  <c r="I68" i="14"/>
  <c r="I64" i="14"/>
  <c r="I57" i="14"/>
  <c r="I52" i="14"/>
  <c r="I46" i="14"/>
  <c r="I67" i="14"/>
  <c r="I62" i="14"/>
  <c r="I56" i="14"/>
  <c r="I45" i="14"/>
  <c r="I66" i="14"/>
  <c r="I61" i="14"/>
  <c r="I55" i="14"/>
  <c r="I48" i="14"/>
  <c r="I44" i="14"/>
  <c r="I40" i="14"/>
  <c r="I65" i="14"/>
  <c r="I60" i="14"/>
  <c r="I54" i="14"/>
  <c r="I47" i="14"/>
  <c r="I43" i="14"/>
  <c r="I41" i="14"/>
  <c r="I20" i="14"/>
  <c r="I25" i="14"/>
  <c r="I29" i="14"/>
  <c r="I35" i="14"/>
  <c r="G36" i="14"/>
  <c r="G17" i="14"/>
  <c r="G20" i="14"/>
  <c r="G22" i="14"/>
  <c r="G25" i="14"/>
  <c r="G27" i="14"/>
  <c r="G29" i="14"/>
  <c r="G32" i="14"/>
  <c r="G35" i="14"/>
  <c r="G37" i="14"/>
  <c r="G108" i="14"/>
  <c r="G105" i="14"/>
  <c r="G103" i="14"/>
  <c r="G101" i="14"/>
  <c r="G98" i="14"/>
  <c r="G96" i="14"/>
  <c r="G94" i="14"/>
  <c r="G88" i="14"/>
  <c r="G78" i="14"/>
  <c r="G76" i="14"/>
  <c r="G74" i="14"/>
  <c r="G82" i="14"/>
  <c r="G84" i="14"/>
  <c r="G87" i="14"/>
  <c r="G107" i="14"/>
  <c r="G104" i="14"/>
  <c r="G102" i="14"/>
  <c r="G99" i="14"/>
  <c r="G97" i="14"/>
  <c r="G95" i="14"/>
  <c r="G93" i="14"/>
  <c r="G79" i="14"/>
  <c r="G77" i="14"/>
  <c r="G75" i="14"/>
  <c r="G73" i="14"/>
  <c r="G81" i="14"/>
  <c r="G83" i="14"/>
  <c r="G85" i="14"/>
  <c r="G16" i="14"/>
  <c r="G18" i="14"/>
  <c r="G21" i="14"/>
  <c r="G24" i="14"/>
  <c r="G26" i="14"/>
  <c r="G28" i="14"/>
  <c r="G31" i="14"/>
  <c r="G34" i="14"/>
  <c r="G50" i="14"/>
  <c r="G67" i="14"/>
  <c r="G65" i="14"/>
  <c r="G62" i="14"/>
  <c r="G60" i="14"/>
  <c r="G56" i="14"/>
  <c r="G54" i="14"/>
  <c r="G48" i="14"/>
  <c r="G46" i="14"/>
  <c r="G44" i="14"/>
  <c r="G41" i="14"/>
  <c r="G68" i="14"/>
  <c r="G66" i="14"/>
  <c r="G64" i="14"/>
  <c r="G61" i="14"/>
  <c r="G57" i="14"/>
  <c r="G55" i="14"/>
  <c r="G52" i="14"/>
  <c r="G40" i="14"/>
  <c r="G47" i="14"/>
  <c r="G45" i="14"/>
  <c r="G43" i="14"/>
  <c r="H35" i="14"/>
  <c r="H17" i="14"/>
  <c r="H22" i="14"/>
  <c r="H27" i="14"/>
  <c r="H32" i="14"/>
  <c r="H37" i="14"/>
  <c r="H14" i="14"/>
  <c r="H16" i="14"/>
  <c r="H21" i="14"/>
  <c r="H26" i="14"/>
  <c r="H31" i="14"/>
  <c r="H36" i="14"/>
  <c r="H20" i="14"/>
  <c r="H25" i="14"/>
  <c r="H29" i="14"/>
  <c r="H50" i="14"/>
  <c r="H66" i="14"/>
  <c r="H61" i="14"/>
  <c r="H55" i="14"/>
  <c r="H46" i="14"/>
  <c r="H41" i="14"/>
  <c r="H67" i="14"/>
  <c r="H62" i="14"/>
  <c r="H56" i="14"/>
  <c r="H47" i="14"/>
  <c r="H43" i="14"/>
  <c r="H68" i="14"/>
  <c r="H64" i="14"/>
  <c r="H57" i="14"/>
  <c r="H52" i="14"/>
  <c r="H48" i="14"/>
  <c r="H44" i="14"/>
  <c r="H40" i="14"/>
  <c r="H65" i="14"/>
  <c r="H60" i="14"/>
  <c r="H54" i="14"/>
  <c r="H45" i="14"/>
  <c r="H18" i="14"/>
  <c r="H24" i="14"/>
  <c r="H28" i="14"/>
  <c r="H34" i="14"/>
  <c r="D40" i="14"/>
  <c r="D50" i="14"/>
  <c r="D49" i="14" s="1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H59" i="14" l="1"/>
  <c r="F86" i="14"/>
  <c r="O59" i="14"/>
  <c r="O86" i="14"/>
  <c r="M59" i="14"/>
  <c r="M86" i="14"/>
  <c r="I86" i="14"/>
  <c r="I59" i="14"/>
  <c r="G86" i="14"/>
  <c r="H63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<sst xmlns="http://schemas.openxmlformats.org/spreadsheetml/2006/main" count="3341" uniqueCount="1670">
  <si>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</si>
  <si>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</si>
  <si>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</si>
  <si>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</si>
  <si>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</si>
  <si>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</si>
  <si>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</si>
  <si>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</si>
  <si>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</si>
  <si>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</si>
  <si>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</si>
  <si>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</si>
  <si>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</si>
  <si>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</si>
  <si>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</si>
  <si>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</si>
  <si>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</si>
  <si>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</si>
  <si>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</si>
  <si>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</si>
  <si>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</si>
  <si>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</si>
  <si>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</si>
  <si>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</si>
  <si>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</si>
  <si>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</si>
  <si>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</si>
  <si>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</si>
  <si>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</si>
  <si>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</si>
  <si>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</si>
  <si>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</si>
  <si>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</si>
  <si>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</si>
  <si>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</si>
  <si>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</si>
  <si>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</si>
  <si>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</si>
  <si>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</si>
  <si>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</si>
  <si>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</si>
  <si>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</si>
  <si>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</si>
  <si>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</si>
  <si>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</si>
  <si>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</si>
  <si>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</si>
  <si>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</si>
  <si>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</si>
  <si>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</si>
  <si>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</si>
  <si>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</si>
  <si>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</si>
  <si>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</si>
  <si>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</si>
  <si>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</si>
  <si>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</si>
  <si>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</si>
  <si>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</si>
  <si>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</si>
  <si>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</si>
  <si>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</si>
  <si>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</si>
  <si>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</si>
  <si>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</si>
  <si>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</si>
  <si>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</si>
  <si>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</si>
  <si>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</si>
  <si>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</si>
  <si>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</si>
  <si>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</si>
  <si>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</si>
  <si>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</si>
  <si>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</si>
  <si>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</si>
  <si>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</si>
  <si>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</si>
  <si>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</si>
  <si>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</si>
  <si>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</si>
  <si>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</si>
  <si>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</si>
  <si>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</si>
  <si>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</si>
  <si>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</si>
  <si>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</si>
  <si>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</si>
  <si>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</si>
  <si>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</si>
  <si>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</si>
  <si>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</si>
  <si>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</si>
  <si>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</si>
  <si>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</si>
  <si>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</si>
  <si>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</si>
  <si>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</si>
  <si>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</si>
  <si>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</si>
  <si>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</si>
  <si>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</si>
  <si>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</si>
  <si>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</si>
  <si>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</si>
  <si>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</si>
  <si>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</si>
  <si>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</si>
  <si>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</si>
  <si>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</si>
  <si>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</si>
  <si>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</si>
  <si>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</si>
  <si>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</si>
  <si>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</si>
  <si>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</si>
  <si>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</si>
  <si>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</si>
  <si>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</si>
  <si>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</si>
  <si>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</si>
  <si>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</si>
  <si>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</si>
  <si>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</si>
  <si>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</si>
  <si>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</si>
  <si>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</si>
  <si>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</si>
  <si>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</si>
  <si>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</si>
  <si>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</si>
  <si>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</si>
  <si>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</si>
  <si>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</si>
  <si>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</si>
  <si>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</si>
  <si>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</si>
  <si>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</si>
  <si>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</si>
  <si>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</si>
  <si>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</si>
  <si>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</si>
  <si>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</si>
  <si>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</si>
  <si>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</si>
  <si>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</si>
  <si>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</si>
  <si>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</si>
  <si>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</si>
  <si>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</si>
  <si>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</si>
  <si>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</si>
  <si>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</si>
  <si>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</si>
  <si>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</si>
  <si>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</si>
  <si>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</si>
  <si>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</si>
  <si>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</si>
  <si>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</si>
  <si>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</si>
  <si>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</si>
  <si>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</si>
  <si>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</si>
  <si>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</si>
  <si>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</si>
  <si>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</si>
  <si>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</si>
  <si>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</si>
  <si>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</si>
  <si>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</si>
  <si>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</si>
  <si>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</si>
  <si>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</si>
  <si>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</si>
  <si>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</si>
  <si>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</si>
  <si>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</si>
  <si>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</si>
  <si>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</si>
  <si>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</si>
  <si>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</si>
  <si>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</si>
  <si>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</si>
  <si>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</si>
  <si>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</si>
  <si>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</si>
  <si>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</si>
  <si>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</si>
  <si>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</si>
  <si>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</si>
  <si>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</si>
  <si>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</si>
  <si>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</si>
  <si>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</si>
  <si>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</si>
  <si>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</si>
  <si>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</si>
  <si>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</si>
  <si>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</si>
  <si>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</si>
  <si>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</si>
  <si>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</si>
  <si>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</si>
  <si>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</si>
  <si>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</si>
  <si>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</si>
  <si>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</si>
  <si>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</si>
  <si>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</si>
  <si>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</si>
  <si>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</si>
  <si>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</si>
  <si>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</si>
  <si>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</si>
  <si>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</si>
  <si>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</si>
  <si>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</si>
  <si>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</si>
  <si>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</si>
  <si>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</si>
  <si>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</si>
  <si>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</si>
  <si>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</si>
  <si>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</si>
  <si>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</si>
  <si>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</si>
  <si>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</si>
  <si>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</si>
  <si>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</si>
  <si>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</si>
  <si>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</si>
  <si>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</si>
  <si>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</si>
  <si>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</si>
  <si>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</si>
  <si>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</si>
  <si>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</si>
  <si>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</si>
  <si>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</si>
  <si>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</si>
  <si>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</si>
  <si>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</si>
  <si>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</si>
  <si>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</si>
  <si>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</si>
  <si>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</si>
  <si>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</si>
  <si>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</si>
  <si>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</si>
  <si>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</si>
  <si>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</si>
  <si>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</si>
  <si>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</si>
  <si>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</si>
  <si>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</si>
  <si>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</si>
  <si>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</si>
  <si>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</si>
  <si>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</si>
  <si>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</si>
  <si>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</si>
  <si>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</si>
  <si>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</si>
  <si>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</si>
  <si>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</si>
  <si>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</si>
  <si>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</si>
  <si>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</si>
  <si>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</si>
  <si>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</si>
  <si>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</si>
  <si>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</si>
  <si>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</si>
  <si>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</si>
  <si>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</si>
  <si>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</si>
  <si>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</si>
  <si>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</si>
  <si>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</si>
  <si>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</si>
  <si>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</si>
  <si>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</si>
  <si>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</si>
  <si>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</si>
  <si>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</si>
  <si>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</si>
  <si>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</si>
  <si>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</si>
  <si>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</si>
  <si>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</si>
  <si>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</si>
  <si>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</si>
  <si>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</si>
  <si>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</si>
  <si>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</si>
  <si>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</si>
  <si>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</si>
  <si>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</si>
  <si>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</si>
  <si>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</si>
  <si>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</si>
  <si>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</si>
  <si>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</si>
  <si>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</si>
  <si>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</si>
  <si>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</si>
  <si>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</si>
  <si>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</si>
  <si>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</si>
  <si>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</si>
  <si>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</si>
  <si>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</si>
  <si>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</si>
  <si>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</si>
  <si>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</si>
  <si>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</si>
  <si>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</si>
  <si>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</si>
  <si>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</si>
  <si>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</si>
  <si>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</si>
  <si>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</si>
  <si>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</si>
  <si>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</si>
  <si>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</si>
  <si>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</si>
  <si>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</si>
  <si>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</si>
  <si>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</si>
  <si>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</si>
  <si>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</si>
  <si>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</si>
  <si>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</si>
  <si>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</si>
  <si>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</si>
  <si>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</si>
  <si>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</si>
  <si>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</si>
  <si>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</si>
  <si>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</si>
  <si>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</si>
  <si>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</si>
  <si>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</si>
  <si>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</si>
  <si>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</si>
  <si>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</si>
  <si>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</si>
  <si>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</si>
  <si>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</si>
  <si>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</si>
  <si>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</si>
  <si>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</si>
  <si>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</si>
  <si>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</si>
  <si>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</si>
  <si>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</si>
  <si>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</si>
  <si>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</si>
  <si>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</si>
  <si>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</si>
  <si>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</si>
  <si>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</si>
  <si>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</si>
  <si>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</si>
  <si>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</si>
  <si>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</si>
  <si>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</si>
  <si>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</si>
  <si>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</si>
  <si>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</si>
  <si>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</si>
  <si>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</si>
  <si>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</si>
  <si>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</si>
  <si>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</si>
  <si>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</si>
  <si>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</si>
  <si>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</si>
  <si>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</si>
  <si>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</si>
  <si>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</si>
  <si>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</si>
  <si>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</si>
  <si>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</si>
  <si>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</si>
  <si>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</si>
  <si>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</si>
  <si>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</si>
  <si>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</si>
  <si>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</si>
  <si>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</si>
  <si>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</si>
  <si>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</si>
  <si>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</si>
  <si>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</si>
  <si>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</si>
  <si>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</si>
  <si>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</si>
  <si>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</si>
  <si>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</si>
  <si>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</si>
  <si>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</si>
  <si>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</si>
  <si>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</si>
  <si>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</si>
  <si>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</si>
  <si>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</si>
  <si>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</si>
  <si>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</si>
  <si>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</si>
  <si>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</si>
  <si>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</si>
  <si>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</si>
  <si>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</si>
  <si>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</si>
  <si>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</si>
  <si>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</si>
  <si>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</si>
  <si>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</si>
  <si>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</si>
  <si>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</si>
  <si>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</si>
  <si>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</si>
  <si>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</si>
  <si>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</si>
  <si>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</si>
  <si>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</si>
  <si>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</si>
  <si>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</si>
  <si>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</si>
  <si>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</si>
  <si>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</si>
  <si>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</si>
  <si>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</si>
  <si>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</si>
  <si>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</si>
  <si>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</si>
  <si>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</si>
  <si>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</si>
  <si>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</si>
  <si>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</si>
  <si>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</si>
  <si>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</si>
  <si>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</si>
  <si>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</si>
  <si>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</si>
  <si>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</si>
  <si>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</si>
  <si>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</si>
  <si>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</si>
  <si>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</si>
  <si>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</si>
  <si>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</si>
  <si>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</si>
  <si>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</si>
  <si>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</si>
  <si>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</si>
  <si>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</si>
  <si>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</si>
  <si>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</si>
  <si>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</si>
  <si>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</si>
  <si>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</si>
  <si>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</si>
  <si>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</si>
  <si>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</si>
  <si>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</si>
  <si>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</si>
  <si>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</si>
  <si>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</si>
  <si>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</si>
  <si>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</si>
  <si>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</si>
  <si>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</si>
  <si>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</si>
  <si>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</si>
  <si>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</si>
  <si>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</si>
  <si>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</si>
  <si>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</si>
  <si>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</si>
  <si>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</si>
  <si>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</si>
  <si>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</si>
  <si>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</si>
  <si>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</si>
  <si>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</si>
  <si>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</si>
  <si>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</si>
  <si>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</si>
  <si>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</si>
  <si>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</si>
  <si>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</si>
  <si>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</si>
  <si>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</si>
  <si>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</si>
  <si>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</si>
  <si>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</si>
  <si>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</si>
  <si>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</si>
  <si>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</si>
  <si>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</si>
  <si>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</si>
  <si>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</si>
  <si>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</si>
  <si>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</si>
  <si>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</si>
  <si>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</si>
  <si>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</si>
  <si>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</si>
  <si>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</si>
  <si>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</si>
  <si>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</si>
  <si>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</si>
  <si>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</si>
  <si>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</si>
  <si>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</si>
  <si>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</si>
  <si>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</si>
  <si>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</si>
  <si>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</si>
  <si>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</si>
  <si>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</si>
  <si>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</si>
  <si>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</si>
  <si>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</si>
  <si>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</si>
  <si>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</si>
  <si>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</si>
  <si>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</si>
  <si>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</si>
  <si>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</si>
  <si>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</si>
  <si>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</si>
  <si>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</si>
  <si>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</si>
  <si>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</si>
  <si>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</si>
  <si>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</si>
  <si>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</si>
  <si>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</si>
  <si>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</si>
  <si>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</si>
  <si>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</si>
  <si>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</si>
  <si>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</si>
  <si>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</si>
  <si>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</si>
  <si>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</si>
  <si>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</si>
  <si>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</si>
  <si>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</si>
  <si>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</si>
  <si>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</si>
  <si>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</si>
  <si>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</si>
  <si>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</si>
  <si>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</si>
  <si>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</si>
  <si>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</si>
  <si>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</si>
  <si>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</si>
  <si>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</si>
  <si>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</si>
  <si>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</si>
  <si>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</si>
  <si>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</si>
  <si>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</si>
  <si>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</si>
  <si>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</si>
  <si>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</si>
  <si>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</si>
  <si>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</si>
  <si>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</si>
  <si>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</si>
  <si>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</si>
  <si>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</si>
  <si>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</si>
  <si>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</si>
  <si>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</si>
  <si>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</si>
  <si>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</si>
  <si>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</si>
  <si>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</si>
  <si>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</si>
  <si>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</si>
  <si>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</si>
  <si>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</si>
  <si>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</si>
  <si>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</si>
  <si>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</si>
  <si>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</si>
  <si>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</si>
  <si>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</si>
  <si>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</si>
  <si>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</si>
  <si>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</si>
  <si>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</si>
  <si>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</si>
  <si>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</si>
  <si>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</si>
  <si>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</si>
  <si>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</si>
  <si>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</si>
  <si>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</si>
  <si>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</si>
  <si>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</si>
  <si>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</si>
  <si>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</si>
  <si>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</si>
  <si>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</si>
  <si>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</si>
  <si>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</si>
  <si>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</si>
  <si>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</si>
  <si>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</si>
  <si>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</si>
  <si>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</si>
  <si>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</si>
  <si>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</si>
  <si>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</si>
  <si>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</si>
  <si>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</si>
  <si>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</si>
  <si>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</si>
  <si>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</si>
  <si>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</si>
  <si>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</si>
  <si>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</si>
  <si>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</si>
  <si>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</si>
  <si>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</si>
  <si>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</si>
  <si>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</si>
  <si>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</si>
  <si>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</si>
  <si>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</si>
  <si>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</si>
  <si>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</si>
  <si>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</si>
  <si>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</si>
  <si>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</si>
  <si>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</si>
  <si>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</si>
  <si>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</si>
  <si>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</si>
  <si>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</si>
  <si>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</si>
  <si>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</si>
  <si>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</si>
  <si>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</si>
  <si>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</si>
  <si>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</si>
  <si>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</si>
  <si>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</si>
  <si>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</si>
  <si>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</si>
  <si>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</si>
  <si>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</si>
  <si>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</si>
  <si>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</si>
  <si>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</si>
  <si>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</si>
  <si>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</si>
  <si>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</si>
  <si>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</si>
  <si>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</si>
  <si>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</si>
  <si>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</si>
  <si>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</si>
  <si>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</si>
  <si>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</si>
  <si>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</si>
  <si>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</si>
  <si>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</si>
  <si>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</si>
  <si>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</si>
  <si>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</si>
  <si>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</si>
  <si>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</si>
  <si>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</si>
  <si>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</si>
  <si>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</si>
  <si>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</si>
  <si>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</si>
  <si>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</si>
  <si>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</si>
  <si>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</si>
  <si>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</si>
  <si>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</si>
  <si>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</si>
  <si>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</si>
  <si>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</si>
  <si>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</si>
  <si>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</si>
  <si>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</si>
  <si>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</si>
  <si>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</si>
  <si>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</si>
  <si>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</si>
  <si>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</si>
  <si>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</si>
  <si>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</si>
  <si>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</si>
  <si>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</si>
  <si>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</si>
  <si>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</si>
  <si>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</si>
  <si>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</si>
  <si>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</si>
  <si>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</si>
  <si>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</si>
  <si>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</si>
  <si>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</si>
  <si>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</si>
  <si>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</si>
  <si>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</si>
  <si>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</si>
  <si>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</si>
  <si>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</si>
  <si>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</si>
  <si>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</si>
  <si>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</si>
  <si>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</si>
  <si>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</si>
  <si>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</si>
  <si>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</si>
  <si>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</si>
  <si>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</si>
  <si>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</si>
  <si>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</si>
  <si>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</si>
  <si>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</si>
  <si>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</si>
  <si>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</si>
  <si>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</si>
  <si>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</si>
  <si>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</si>
  <si>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</si>
  <si>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</si>
  <si>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</si>
  <si>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</si>
  <si>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</si>
  <si>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</si>
  <si>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</si>
  <si>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</si>
  <si>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</si>
  <si>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</si>
  <si>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</si>
  <si>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</si>
  <si>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</si>
  <si>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</si>
  <si>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</si>
  <si>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</si>
  <si>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</si>
  <si>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</si>
  <si>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</si>
  <si>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</si>
  <si>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</si>
  <si>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</si>
  <si>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</si>
  <si>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</si>
  <si>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</si>
  <si>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</si>
  <si>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</si>
  <si>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</si>
  <si>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</si>
  <si>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</si>
  <si>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</si>
  <si>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</si>
  <si>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</si>
  <si>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</si>
  <si>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</si>
  <si>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</si>
  <si>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</si>
  <si>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</si>
  <si>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</si>
  <si>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</si>
  <si>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</si>
  <si>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</si>
  <si>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</si>
  <si>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</si>
  <si>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</si>
  <si>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</si>
  <si>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</si>
  <si>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</si>
  <si>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</si>
  <si>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</si>
  <si>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</si>
  <si>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</si>
  <si>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</si>
  <si>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</si>
  <si>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</si>
  <si>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</si>
  <si>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</si>
  <si>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</si>
  <si>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</si>
  <si>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</si>
  <si>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</si>
  <si>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</si>
  <si>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</si>
  <si>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</si>
  <si>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</si>
  <si>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</si>
  <si>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</si>
  <si>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</si>
  <si>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</si>
  <si>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</si>
  <si>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</si>
  <si>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</si>
  <si>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</si>
  <si>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</si>
  <si>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</si>
  <si>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</si>
  <si>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</si>
  <si>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</si>
  <si>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</si>
  <si>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</si>
  <si>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</si>
  <si>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</si>
  <si>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</si>
  <si>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</si>
  <si>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</si>
  <si>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</si>
  <si>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</si>
  <si>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</si>
  <si>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</si>
  <si>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</si>
  <si>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</si>
  <si>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</si>
  <si>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</si>
  <si>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</si>
  <si>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</si>
  <si>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</si>
  <si>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</si>
  <si>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</si>
  <si>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</si>
  <si>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</si>
  <si>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</si>
  <si>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</si>
  <si>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</si>
  <si>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</si>
  <si>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</si>
  <si>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</si>
  <si>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</si>
  <si>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</si>
  <si>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</si>
  <si>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</si>
  <si>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</si>
  <si>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</si>
  <si>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</si>
  <si>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</si>
  <si>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</si>
  <si>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</si>
  <si>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</si>
  <si>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</si>
  <si>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</si>
  <si>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</si>
  <si>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</si>
  <si>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</si>
  <si>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</si>
  <si>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</si>
  <si>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</si>
  <si>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</si>
  <si>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</si>
  <si>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</si>
  <si>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</si>
  <si>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</si>
  <si>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</si>
  <si>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</si>
  <si>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</si>
  <si>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</si>
  <si>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</si>
  <si>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</si>
  <si>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</si>
  <si>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</si>
  <si>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</si>
  <si>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</si>
  <si>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</si>
  <si>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</si>
  <si>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</si>
  <si>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</si>
  <si>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</si>
  <si>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</si>
  <si>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</si>
  <si>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</si>
  <si>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</si>
  <si>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</si>
  <si>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</si>
  <si>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</si>
  <si>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</si>
  <si>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</si>
  <si>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</si>
  <si>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</si>
  <si>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</si>
  <si>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</si>
  <si>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</si>
  <si>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</si>
  <si>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</si>
  <si>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</si>
  <si>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</si>
  <si>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</si>
  <si>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</si>
  <si>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</si>
  <si>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</si>
  <si>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</si>
  <si>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</si>
  <si>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</si>
  <si>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</si>
  <si>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</si>
  <si>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</si>
  <si>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</si>
  <si>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</si>
  <si>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</si>
  <si>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</si>
  <si>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</si>
  <si>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</si>
  <si>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</si>
  <si>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</si>
  <si>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</si>
  <si>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</si>
  <si>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</si>
  <si>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</si>
  <si>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</si>
  <si>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</si>
  <si>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</si>
  <si>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</si>
  <si>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</si>
  <si>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</si>
  <si>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</si>
  <si>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</si>
  <si>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</si>
  <si>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</si>
  <si>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</si>
  <si>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</si>
  <si>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</si>
  <si>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</si>
  <si>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</si>
  <si>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</si>
  <si>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</si>
  <si>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</si>
  <si>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</si>
  <si>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</si>
  <si>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</si>
  <si>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</si>
  <si>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</si>
  <si>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</si>
  <si>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</si>
  <si>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</si>
  <si>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</si>
  <si>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</si>
  <si>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</si>
  <si>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</si>
  <si>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</si>
  <si>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</si>
  <si>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</si>
  <si>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</si>
  <si>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</si>
  <si>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</si>
  <si>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</si>
  <si>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</si>
  <si>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</si>
  <si>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</si>
  <si>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</si>
  <si>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</si>
  <si>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</si>
  <si>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</si>
  <si>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</si>
  <si>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</si>
  <si>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</si>
  <si>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</si>
  <si>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</si>
  <si>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</si>
  <si>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</si>
  <si>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</si>
  <si>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</si>
  <si>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</si>
  <si>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</si>
  <si>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</si>
  <si>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</si>
  <si>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</si>
  <si>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</si>
  <si>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</si>
  <si>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</si>
  <si>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</si>
  <si>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</si>
  <si>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</si>
  <si>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</si>
  <si>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</si>
  <si>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</si>
  <si>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</si>
  <si>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</si>
  <si>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</si>
  <si>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</si>
  <si>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</si>
  <si>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</si>
  <si>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</si>
  <si>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</si>
  <si>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</si>
  <si>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</si>
  <si>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</si>
  <si>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</si>
  <si>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</si>
  <si>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</si>
  <si>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</si>
  <si>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</si>
  <si>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</si>
  <si>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</si>
  <si>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</si>
  <si>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</si>
  <si>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</si>
  <si>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</si>
  <si>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</si>
  <si>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</si>
  <si>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</si>
  <si>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</si>
  <si>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</si>
  <si>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</si>
  <si>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</si>
  <si>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</si>
  <si>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</si>
  <si>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</si>
  <si>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</si>
  <si>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</si>
  <si>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</si>
  <si>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</si>
  <si>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</si>
  <si>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</si>
  <si>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</si>
  <si>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</si>
  <si>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</si>
  <si>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</si>
  <si>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</si>
  <si>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</si>
  <si>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</si>
  <si>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</si>
  <si>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</si>
  <si>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</si>
  <si>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</si>
  <si>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</si>
  <si>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</si>
  <si>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</si>
  <si>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</si>
  <si>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</si>
  <si>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</si>
  <si>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</si>
  <si>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</si>
  <si>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</si>
  <si>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</si>
  <si>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</si>
  <si>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</si>
  <si>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</si>
  <si>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</si>
  <si>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</si>
  <si>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</si>
  <si>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</si>
  <si>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</si>
  <si>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</si>
  <si>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</si>
  <si>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</si>
  <si>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</si>
  <si>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</si>
  <si>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</si>
  <si>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</si>
  <si>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</si>
  <si>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</si>
  <si>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</si>
  <si>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</si>
  <si>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</si>
  <si>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</si>
  <si>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</si>
  <si>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</si>
  <si>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</si>
  <si>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</si>
  <si>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</si>
  <si>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</si>
  <si>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</si>
  <si>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</si>
  <si>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</si>
  <si>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</si>
  <si>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</si>
  <si>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</si>
  <si>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</si>
  <si>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</si>
  <si>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</si>
  <si>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</si>
  <si>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</si>
  <si>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</si>
  <si>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</si>
  <si>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</si>
  <si>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</si>
  <si>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</si>
  <si>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</si>
  <si>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</si>
  <si>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</si>
  <si>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</si>
  <si>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</si>
  <si>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</si>
  <si>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</si>
  <si>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</si>
  <si>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</si>
  <si>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</si>
  <si>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</si>
  <si>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</si>
  <si>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</si>
  <si>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</si>
  <si>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</si>
  <si>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</si>
  <si>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</si>
  <si>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</si>
  <si>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</si>
  <si>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</si>
  <si>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</si>
  <si>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</si>
  <si>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</si>
  <si>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</si>
  <si>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</si>
  <si>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</si>
  <si>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</si>
  <si>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</si>
  <si>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</si>
  <si>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</si>
  <si>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</si>
  <si>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</si>
  <si>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</si>
  <si>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</si>
  <si>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</si>
  <si>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</si>
  <si>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</si>
  <si>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</si>
  <si>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</si>
  <si>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</si>
  <si>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</si>
  <si>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</si>
  <si>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</si>
  <si>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</si>
  <si>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</si>
  <si>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</si>
  <si>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</si>
  <si>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</si>
  <si>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</si>
  <si>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</si>
  <si>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</si>
  <si>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</si>
  <si>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</si>
  <si>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</si>
  <si>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</si>
  <si>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</si>
  <si>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</si>
  <si>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</si>
  <si>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</si>
  <si>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</si>
  <si>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</si>
  <si>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</si>
  <si>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</si>
  <si>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</si>
  <si>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</si>
  <si>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</si>
  <si>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</si>
  <si>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</si>
  <si>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</si>
  <si>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</si>
  <si>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</si>
  <si>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</si>
  <si>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</si>
  <si>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</si>
  <si>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</si>
  <si>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</si>
  <si>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</si>
  <si>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</si>
  <si>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</si>
  <si>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</si>
  <si>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</si>
  <si>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</si>
  <si>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</si>
  <si>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</si>
  <si>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</si>
  <si>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</si>
  <si>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</si>
  <si>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</si>
  <si>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</si>
  <si>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</si>
  <si>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</si>
  <si>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</si>
  <si>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</si>
  <si>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</si>
  <si>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</si>
  <si>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</si>
  <si>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</si>
  <si>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</si>
  <si>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</si>
  <si>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</si>
  <si>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</si>
  <si>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</si>
  <si>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</si>
  <si>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</si>
  <si>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</si>
  <si>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</si>
  <si>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</si>
  <si>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</si>
  <si>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</si>
  <si>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</si>
  <si>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</si>
  <si>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</si>
  <si>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</si>
  <si>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</si>
  <si>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</si>
  <si>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</si>
  <si>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</si>
  <si>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</si>
  <si>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</si>
  <si>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</si>
  <si>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</si>
  <si>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</si>
  <si>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</si>
  <si>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</si>
  <si>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</si>
  <si>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</si>
  <si>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</si>
  <si>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</si>
  <si>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</si>
  <si>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</si>
  <si>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</si>
  <si>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</si>
  <si>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</si>
  <si>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</si>
  <si>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</si>
  <si>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</si>
  <si>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</si>
  <si>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</si>
  <si>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</si>
  <si>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</si>
  <si>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</si>
  <si>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</si>
  <si>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</si>
  <si>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</si>
  <si>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</si>
  <si>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</si>
  <si>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</si>
  <si>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</si>
  <si>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</si>
  <si>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</si>
  <si>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</si>
  <si>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</si>
  <si>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</si>
  <si>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</si>
  <si>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</si>
  <si>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</si>
  <si>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</si>
  <si>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</si>
  <si>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</si>
  <si>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</si>
  <si>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</si>
  <si>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</si>
  <si>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</si>
  <si>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</si>
  <si>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</si>
  <si>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</si>
  <si>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</si>
  <si>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</si>
  <si>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</si>
  <si>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</si>
  <si>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</si>
  <si>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</si>
  <si>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</si>
  <si>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</si>
  <si>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</si>
  <si>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</si>
  <si>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</si>
  <si>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</si>
  <si>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</si>
  <si>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</si>
  <si>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</si>
  <si>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</si>
  <si>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</si>
  <si>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</si>
  <si>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</si>
  <si>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</si>
  <si>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</si>
  <si>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</si>
  <si>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</si>
  <si>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</si>
  <si>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</si>
  <si>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</si>
  <si>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</si>
  <si>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</si>
  <si>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</si>
  <si>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</si>
  <si>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</si>
  <si>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</si>
  <si>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</si>
  <si>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</si>
  <si>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</si>
  <si>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</si>
  <si>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</si>
  <si>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</si>
  <si>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</si>
  <si>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</si>
  <si>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</si>
  <si>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</si>
  <si>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</si>
  <si>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</si>
  <si>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</si>
  <si>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</si>
  <si>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</si>
  <si>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</si>
  <si>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</si>
  <si>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</si>
  <si>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</si>
  <si>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</si>
  <si>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</si>
  <si>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</si>
  <si>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</si>
  <si>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</si>
  <si>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</si>
  <si>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</si>
  <si>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</si>
  <si>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</si>
  <si>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</si>
  <si>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</si>
  <si>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</si>
  <si>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</si>
  <si>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</si>
  <si>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</si>
  <si>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</si>
  <si>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</si>
  <si>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</si>
  <si>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</si>
  <si>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</si>
  <si>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</si>
  <si>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</si>
  <si>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</si>
  <si>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</si>
  <si>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</si>
  <si>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</si>
  <si>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</si>
  <si>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</si>
  <si>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</si>
  <si>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</si>
  <si>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</si>
  <si>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</si>
  <si>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</si>
  <si>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</si>
  <si>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</si>
  <si>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</si>
  <si>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</si>
  <si>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</si>
  <si>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</si>
  <si>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</si>
  <si>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</si>
  <si>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</si>
  <si>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</si>
  <si>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</si>
  <si>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</si>
  <si>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</si>
  <si>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</si>
  <si>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</si>
  <si>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</si>
  <si>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</si>
  <si>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</si>
  <si>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</si>
  <si>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</si>
  <si>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</si>
  <si>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</si>
  <si>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</si>
  <si>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</si>
  <si>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</si>
  <si>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</si>
  <si>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</si>
  <si>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</si>
  <si>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</si>
  <si>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</si>
  <si>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</si>
  <si>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</si>
  <si>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</si>
  <si>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</si>
  <si>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</si>
  <si>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</si>
  <si>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</si>
  <si>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</si>
  <si>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</si>
  <si>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</si>
  <si>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</si>
  <si>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</si>
  <si>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</si>
  <si>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</si>
  <si>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</si>
  <si>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</si>
  <si>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</si>
  <si>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</si>
  <si>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</si>
  <si>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</si>
  <si>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</si>
  <si>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</si>
  <si>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</si>
  <si>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</si>
  <si>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</si>
  <si>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</si>
  <si>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</si>
  <si>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</si>
  <si>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</si>
  <si>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</si>
  <si>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</si>
  <si>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</si>
  <si>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</si>
  <si>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</si>
  <si>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</si>
  <si>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</si>
  <si>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</si>
  <si>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</si>
  <si>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</si>
  <si>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</si>
  <si>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</si>
  <si>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</si>
  <si>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</si>
  <si>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</si>
  <si>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</si>
  <si>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</si>
  <si>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</si>
  <si>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</si>
  <si>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</si>
  <si>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</si>
  <si>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</si>
  <si>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</si>
  <si>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</si>
  <si>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</si>
  <si>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</si>
  <si>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</si>
  <si>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</si>
  <si>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</si>
  <si>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</si>
  <si>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</si>
  <si>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</si>
  <si>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</si>
  <si>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</si>
  <si>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</si>
  <si>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</si>
  <si>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</si>
  <si>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</si>
  <si>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</si>
  <si>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</si>
  <si>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</si>
  <si>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</si>
  <si>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</si>
  <si>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</si>
  <si>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</si>
  <si>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</si>
  <si>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</si>
  <si>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</si>
  <si>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</si>
  <si>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</si>
  <si>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</si>
  <si>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</si>
  <si>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</si>
  <si>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</si>
  <si>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</si>
  <si>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</si>
  <si>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</si>
  <si>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</si>
  <si>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</si>
  <si>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</si>
  <si>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</si>
  <si>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</si>
  <si>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</si>
  <si>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</si>
  <si>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</si>
  <si>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</si>
  <si>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</si>
  <si>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</si>
  <si>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</si>
  <si>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</si>
  <si>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</si>
  <si>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</si>
  <si>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</si>
  <si>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</si>
  <si>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</si>
  <si>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</si>
  <si>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</si>
  <si>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</si>
  <si>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</si>
  <si>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</si>
  <si>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</si>
  <si>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</si>
  <si>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</si>
  <si>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</si>
  <si>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</si>
  <si>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</si>
  <si>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</si>
  <si>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</si>
  <si>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</si>
  <si>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</si>
  <si>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</si>
  <si>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</si>
  <si>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</si>
  <si>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</si>
  <si>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</si>
  <si>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</si>
  <si>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</si>
  <si>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</si>
  <si>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</si>
  <si>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</si>
  <si>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</si>
  <si>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</si>
  <si>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</si>
  <si>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</si>
  <si>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</si>
  <si>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</si>
  <si>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</si>
  <si>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</si>
  <si>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</si>
  <si>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</si>
  <si>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</si>
  <si>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</si>
  <si>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</si>
  <si>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</si>
  <si>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</si>
  <si>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</si>
  <si>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</si>
  <si>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</si>
  <si>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</si>
  <si>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</si>
  <si>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</si>
  <si>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</si>
  <si>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</si>
  <si>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</si>
  <si>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</si>
  <si>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</si>
  <si>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</si>
  <si>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</si>
  <si>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</si>
  <si>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</si>
  <si>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</si>
  <si>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</si>
  <si>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</si>
  <si>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</si>
  <si>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</si>
  <si>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</si>
  <si>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</si>
  <si>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</si>
  <si>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</si>
  <si>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</si>
  <si>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</si>
  <si>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</si>
  <si>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</si>
  <si>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</si>
  <si>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</si>
  <si>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</si>
  <si>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</si>
  <si>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</si>
  <si>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</si>
  <si>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</si>
  <si>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</si>
  <si>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</si>
  <si>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</si>
  <si>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</si>
  <si>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</si>
  <si>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</si>
  <si>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</si>
  <si>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</si>
  <si>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</si>
  <si>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</si>
  <si>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</si>
  <si>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</si>
  <si>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</si>
  <si>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</si>
  <si>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</si>
  <si>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</si>
  <si>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</si>
  <si>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</si>
  <si>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</si>
  <si>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</si>
  <si>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</si>
  <si>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</si>
  <si>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</si>
  <si>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</si>
  <si>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</si>
  <si>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</si>
  <si>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</si>
  <si>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</si>
  <si>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</si>
  <si>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</si>
  <si>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</si>
  <si>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</si>
  <si>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</si>
  <si>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</si>
  <si>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</si>
  <si>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</si>
  <si>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</si>
  <si>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</si>
  <si>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</si>
  <si>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</si>
  <si>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</si>
  <si>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</si>
  <si>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</si>
  <si>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</si>
  <si>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</si>
  <si>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</si>
  <si>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</si>
  <si>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</si>
  <si>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</si>
  <si>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</si>
  <si>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</si>
  <si>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</si>
  <si>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</si>
  <si>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</si>
  <si>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</si>
  <si>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</si>
  <si>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</si>
  <si>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</si>
  <si>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</si>
  <si>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</si>
  <si>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</si>
  <si>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</si>
  <si>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</si>
  <si>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</si>
  <si>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</si>
  <si>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</si>
  <si>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</si>
  <si>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</si>
  <si>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</si>
  <si>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</si>
  <si>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</si>
  <si>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</si>
  <si>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</si>
  <si>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</si>
  <si>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</si>
  <si>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</si>
  <si>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</si>
  <si>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</si>
  <si>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</si>
  <si>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</si>
  <si>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</si>
  <si>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</si>
  <si>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</si>
  <si>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</si>
  <si>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</si>
  <si>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</si>
  <si>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</si>
  <si>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</si>
  <si>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</si>
  <si>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</si>
  <si>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</si>
  <si>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</si>
  <si>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</si>
  <si>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</si>
  <si>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</si>
  <si>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</si>
  <si>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</si>
  <si>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</si>
  <si>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</si>
  <si>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</si>
  <si>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</si>
  <si>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</si>
  <si>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</si>
  <si>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</si>
  <si>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</si>
  <si>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</si>
  <si>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</si>
  <si>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</si>
  <si>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</si>
  <si>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</si>
  <si>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</si>
  <si>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</si>
  <si>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</si>
  <si>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2372 SVEUČILIŠTE U SPLITU - EKONOMSKI FAKULTET</t>
  </si>
  <si>
    <t>Mirjana Mašković</t>
  </si>
  <si>
    <t>021/430606</t>
  </si>
  <si>
    <t>mmaskovi@efst:hr</t>
  </si>
  <si>
    <t>SPLIT, 01.10.2019.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</si>
</sst>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family val="2"/>
      <charset val="238"/>
    </font>
    <font>
      <i/>
      <sz val="10"/>
      <color indexed="8"/>
      <name val="MS Sans Serif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8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8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8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8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7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8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8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9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57" fillId="0" borderId="40" xfId="0" applyFont="1" applyBorder="1"/>
    <xf numFmtId="0" fontId="57" fillId="0" borderId="40" xfId="0" applyFont="1" applyBorder="1" applyProtection="1"/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5" t="s">
        <v>1665</v>
      </c>
      <c r="D3" s="256"/>
      <c r="E3" s="257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8" t="s">
        <v>1669</v>
      </c>
      <c r="D4" s="259"/>
      <c r="E4" s="260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8" t="s">
        <v>1666</v>
      </c>
      <c r="D5" s="259"/>
      <c r="E5" s="260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8" t="s">
        <v>1667</v>
      </c>
      <c r="D6" s="259"/>
      <c r="E6" s="260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383</v>
      </c>
      <c r="C7" s="258" t="s">
        <v>1668</v>
      </c>
      <c r="D7" s="259"/>
      <c r="E7" s="260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54" t="s">
        <v>842</v>
      </c>
      <c r="C9" s="253"/>
      <c r="D9" s="253"/>
      <c r="E9" s="253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54" t="s">
        <v>3</v>
      </c>
      <c r="C10" s="253"/>
      <c r="D10" s="253"/>
      <c r="E10" s="253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2"/>
      <c r="C11" s="253"/>
      <c r="D11" s="253"/>
      <c r="E11" s="253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44444303</v>
      </c>
      <c r="D14" s="173">
        <f>+D15+D16</f>
        <v>44234727</v>
      </c>
      <c r="E14" s="173">
        <f>+E15+E16</f>
        <v>44708004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44437003</v>
      </c>
      <c r="D15" s="176">
        <f>'PLAN PRIHODA I PRIMITAKA '!C62</f>
        <v>44227427</v>
      </c>
      <c r="E15" s="176">
        <f>'PLAN PRIHODA I PRIMITAKA '!C98</f>
        <v>44700704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7300</v>
      </c>
      <c r="D16" s="176">
        <f>'PLAN PRIHODA I PRIMITAKA '!C69</f>
        <v>7300</v>
      </c>
      <c r="E16" s="176">
        <f>'PLAN PRIHODA I PRIMITAKA '!C105</f>
        <v>7300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45585620</v>
      </c>
      <c r="D17" s="180">
        <f>+D18+D19</f>
        <v>44180762</v>
      </c>
      <c r="E17" s="180">
        <f>+E18+E19</f>
        <v>44636997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44907620</v>
      </c>
      <c r="D18" s="182">
        <f>'PLAN RASHODA I IZDATAKA'!C72</f>
        <v>43772762</v>
      </c>
      <c r="E18" s="182">
        <f>'PLAN RASHODA I IZDATAKA'!C92</f>
        <v>44248997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678000</v>
      </c>
      <c r="D19" s="182">
        <f>'PLAN RASHODA I IZDATAKA'!C80</f>
        <v>408000</v>
      </c>
      <c r="E19" s="182">
        <f>'PLAN RASHODA I IZDATAKA'!C100</f>
        <v>388000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-1141317</v>
      </c>
      <c r="D20" s="173">
        <f>+D14-D17</f>
        <v>53965</v>
      </c>
      <c r="E20" s="173">
        <f>+E14-E17</f>
        <v>71007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2"/>
      <c r="C21" s="253"/>
      <c r="D21" s="253"/>
      <c r="E21" s="253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7406262</v>
      </c>
      <c r="D23" s="181">
        <f>'PLAN PRIHODA I PRIMITAKA '!C41</f>
        <v>6264945</v>
      </c>
      <c r="E23" s="181">
        <f>'PLAN PRIHODA I PRIMITAKA '!C77</f>
        <v>6318910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-6264945</v>
      </c>
      <c r="D24" s="185">
        <f>'PLAN PRIHODA I PRIMITAKA '!C43</f>
        <v>-6318910</v>
      </c>
      <c r="E24" s="186">
        <f>'PLAN PRIHODA I PRIMITAKA '!C79</f>
        <v>-6389917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2"/>
      <c r="C25" s="253"/>
      <c r="D25" s="253"/>
      <c r="E25" s="253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2"/>
      <c r="C30" s="253"/>
      <c r="D30" s="253"/>
      <c r="E30" s="253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0</v>
      </c>
      <c r="E31" s="190">
        <f>+E20+E23+E24+E29</f>
        <v>0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password="DE31" sheet="1" objects="1" scenarios="1"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topLeftCell="B1" zoomScaleNormal="100" workbookViewId="0">
      <pane ySplit="2" topLeftCell="A3" activePane="bottomLeft" state="frozen"/>
      <selection pane="bottomLeft" activeCell="H20" sqref="H2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1" t="s">
        <v>812</v>
      </c>
      <c r="B1" s="261"/>
      <c r="C1" s="261"/>
      <c r="D1" s="261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str">
        <f>IF(E3="","",VLOOKUP('Opći dio'!$C$3,'Opći dio'!$L$6:$U$135,10,FALSE))</f>
        <v>08006</v>
      </c>
      <c r="B3" s="142" t="str">
        <f>IF(E3="","",VLOOKUP('Opći dio'!$C$3,'Opći dio'!$L$6:$U$135,9,FALSE))</f>
        <v>Sveučilišta i veleučilišta u Republici Hrvatskoj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v>29775375</v>
      </c>
      <c r="H3" s="198">
        <v>30435495</v>
      </c>
      <c r="I3" s="198">
        <v>30630622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str">
        <f>IF(E4="","",VLOOKUP('Opći dio'!$C$3,'Opći dio'!$L$6:$U$135,10,FALSE))</f>
        <v>08006</v>
      </c>
      <c r="B4" s="142" t="str">
        <f>IF(E4="","",VLOOKUP('Opći dio'!$C$3,'Opći dio'!$L$6:$U$135,9,FALSE))</f>
        <v>Sveučilišta i veleučilišta u Republici Hrvatskoj</v>
      </c>
      <c r="C4" s="202">
        <f t="shared" si="0"/>
        <v>43</v>
      </c>
      <c r="D4" s="140" t="str">
        <f t="shared" si="1"/>
        <v>Ostali prihodi za posebne namjene</v>
      </c>
      <c r="E4" s="153">
        <v>65264</v>
      </c>
      <c r="F4" s="141" t="str">
        <f t="shared" ref="F4:F66" si="2">IFERROR(VLOOKUP(E4,$R$6:$U$73,2,FALSE),"")</f>
        <v>Sufinanciranje cijene usluge, participacije i slično</v>
      </c>
      <c r="G4" s="198">
        <v>7965000</v>
      </c>
      <c r="H4" s="198">
        <v>8265000</v>
      </c>
      <c r="I4" s="198">
        <v>8635000</v>
      </c>
      <c r="K4" s="144" t="str">
        <f t="shared" ref="K4:K67" si="3">LEFT(E4,3)</f>
        <v>652</v>
      </c>
      <c r="L4" s="144" t="str">
        <f t="shared" ref="L4:L67" si="4">LEFT(E4,2)</f>
        <v>65</v>
      </c>
    </row>
    <row r="5" spans="1:22">
      <c r="A5" s="142" t="str">
        <f>IF(E5="","",VLOOKUP('Opći dio'!$C$3,'Opći dio'!$L$6:$U$135,10,FALSE))</f>
        <v>08006</v>
      </c>
      <c r="B5" s="142" t="str">
        <f>IF(E5="","",VLOOKUP('Opći dio'!$C$3,'Opći dio'!$L$6:$U$135,9,FALSE))</f>
        <v>Sveučilišta i veleučilišta u Republici Hrvatskoj</v>
      </c>
      <c r="C5" s="202">
        <f t="shared" si="0"/>
        <v>43</v>
      </c>
      <c r="D5" s="140" t="str">
        <f t="shared" si="1"/>
        <v>Ostali prihodi za posebne namjene</v>
      </c>
      <c r="E5" s="153">
        <v>65268</v>
      </c>
      <c r="F5" s="141" t="str">
        <f t="shared" si="2"/>
        <v>Ostali prihodi za posebne namjene</v>
      </c>
      <c r="G5" s="198">
        <v>249185</v>
      </c>
      <c r="H5" s="198">
        <v>199185</v>
      </c>
      <c r="I5" s="198">
        <v>201185</v>
      </c>
      <c r="K5" s="144" t="str">
        <f t="shared" si="3"/>
        <v>652</v>
      </c>
      <c r="L5" s="144" t="str">
        <f t="shared" si="4"/>
        <v>65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str">
        <f>IF(E6="","",VLOOKUP('Opći dio'!$C$3,'Opći dio'!$L$6:$U$135,10,FALSE))</f>
        <v>08006</v>
      </c>
      <c r="B6" s="142" t="str">
        <f>IF(E6="","",VLOOKUP('Opći dio'!$C$3,'Opći dio'!$L$6:$U$135,9,FALSE))</f>
        <v>Sveučilišta i veleučilišta u Republici Hrvatskoj</v>
      </c>
      <c r="C6" s="202">
        <f t="shared" si="0"/>
        <v>51</v>
      </c>
      <c r="D6" s="140" t="str">
        <f t="shared" si="1"/>
        <v>Pomoći EU</v>
      </c>
      <c r="E6" s="153">
        <v>632311700</v>
      </c>
      <c r="F6" s="141" t="str">
        <f t="shared" si="2"/>
        <v>Tekuće pomoći od institucija i tijela EU - ostalo</v>
      </c>
      <c r="G6" s="198">
        <v>664885</v>
      </c>
      <c r="H6" s="198">
        <v>425280</v>
      </c>
      <c r="I6" s="198"/>
      <c r="K6" s="144" t="str">
        <f t="shared" si="3"/>
        <v>632</v>
      </c>
      <c r="L6" s="144" t="str">
        <f t="shared" si="4"/>
        <v>63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>08006</v>
      </c>
      <c r="B7" s="142" t="str">
        <f>IF(E7="","",VLOOKUP('Opći dio'!$C$3,'Opći dio'!$L$6:$U$135,9,FALSE))</f>
        <v>Sveučilišta i veleučilišta u Republici Hrvatskoj</v>
      </c>
      <c r="C7" s="202">
        <f t="shared" si="0"/>
        <v>52</v>
      </c>
      <c r="D7" s="140" t="str">
        <f t="shared" si="1"/>
        <v>Ostale pomoći</v>
      </c>
      <c r="E7" s="153">
        <v>6391</v>
      </c>
      <c r="F7" s="141" t="str">
        <f t="shared" si="2"/>
        <v>Tekući prijenosi između proračunskih korisnika istog proračuna</v>
      </c>
      <c r="G7" s="198">
        <v>2206238</v>
      </c>
      <c r="H7" s="198">
        <v>999236</v>
      </c>
      <c r="I7" s="198">
        <v>1022654</v>
      </c>
      <c r="K7" s="144" t="str">
        <f t="shared" si="3"/>
        <v>639</v>
      </c>
      <c r="L7" s="144" t="str">
        <f t="shared" si="4"/>
        <v>63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08006</v>
      </c>
      <c r="B8" s="142" t="str">
        <f>IF(E8="","",VLOOKUP('Opći dio'!$C$3,'Opći dio'!$L$6:$U$135,9,FALSE))</f>
        <v>Sveučilišta i veleučilišta u Republici Hrvatskoj</v>
      </c>
      <c r="C8" s="202">
        <f t="shared" si="0"/>
        <v>52</v>
      </c>
      <c r="D8" s="140" t="str">
        <f t="shared" si="1"/>
        <v>Ostale pomoći</v>
      </c>
      <c r="E8" s="153">
        <v>6393</v>
      </c>
      <c r="F8" s="141" t="str">
        <f t="shared" si="2"/>
        <v>Tekući prijenosi između proračunskih korisnika istog proračuna temeljem prijenosa EU sredstava</v>
      </c>
      <c r="G8" s="198">
        <v>1986320</v>
      </c>
      <c r="H8" s="198">
        <v>2213231</v>
      </c>
      <c r="I8" s="198">
        <v>2521243</v>
      </c>
      <c r="K8" s="144" t="str">
        <f t="shared" si="3"/>
        <v>639</v>
      </c>
      <c r="L8" s="144" t="str">
        <f t="shared" si="4"/>
        <v>63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>08006</v>
      </c>
      <c r="B9" s="142" t="str">
        <f>IF(E9="","",VLOOKUP('Opći dio'!$C$3,'Opći dio'!$L$6:$U$135,9,FALSE))</f>
        <v>Sveučilišta i veleučilišta u Republici Hrvatskoj</v>
      </c>
      <c r="C9" s="202">
        <f t="shared" si="0"/>
        <v>31</v>
      </c>
      <c r="D9" s="140" t="str">
        <f t="shared" si="1"/>
        <v>Vlastiti prihodi</v>
      </c>
      <c r="E9" s="153">
        <v>6614</v>
      </c>
      <c r="F9" s="141" t="str">
        <f t="shared" si="2"/>
        <v>Prihodi od prodaje proizvoda i robe</v>
      </c>
      <c r="G9" s="198">
        <v>45000</v>
      </c>
      <c r="H9" s="198">
        <v>45000</v>
      </c>
      <c r="I9" s="198">
        <v>45000</v>
      </c>
      <c r="K9" s="144" t="str">
        <f t="shared" si="3"/>
        <v>661</v>
      </c>
      <c r="L9" s="144" t="str">
        <f t="shared" si="4"/>
        <v>66</v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>08006</v>
      </c>
      <c r="B10" s="142" t="str">
        <f>IF(E10="","",VLOOKUP('Opći dio'!$C$3,'Opći dio'!$L$6:$U$135,9,FALSE))</f>
        <v>Sveučilišta i veleučilišta u Republici Hrvatskoj</v>
      </c>
      <c r="C10" s="202">
        <f t="shared" si="0"/>
        <v>31</v>
      </c>
      <c r="D10" s="140" t="str">
        <f t="shared" si="1"/>
        <v>Vlastiti prihodi</v>
      </c>
      <c r="E10" s="153">
        <v>6615</v>
      </c>
      <c r="F10" s="141" t="str">
        <f t="shared" si="2"/>
        <v>Prihodi od pruženih usluga</v>
      </c>
      <c r="G10" s="198">
        <v>1465000</v>
      </c>
      <c r="H10" s="198">
        <v>1565000</v>
      </c>
      <c r="I10" s="198">
        <v>1565000</v>
      </c>
      <c r="K10" s="144" t="str">
        <f t="shared" si="3"/>
        <v>661</v>
      </c>
      <c r="L10" s="144" t="str">
        <f t="shared" si="4"/>
        <v>66</v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>08006</v>
      </c>
      <c r="B11" s="142" t="str">
        <f>IF(E11="","",VLOOKUP('Opći dio'!$C$3,'Opći dio'!$L$6:$U$135,9,FALSE))</f>
        <v>Sveučilišta i veleučilišta u Republici Hrvatskoj</v>
      </c>
      <c r="C11" s="202">
        <f t="shared" si="0"/>
        <v>61</v>
      </c>
      <c r="D11" s="140" t="str">
        <f t="shared" si="1"/>
        <v>Donacije</v>
      </c>
      <c r="E11" s="153">
        <v>663120000</v>
      </c>
      <c r="F11" s="141" t="str">
        <f t="shared" si="2"/>
        <v>Tekuće donacije od neprofitnih organizacija</v>
      </c>
      <c r="G11" s="198">
        <v>40000</v>
      </c>
      <c r="H11" s="198">
        <v>40000</v>
      </c>
      <c r="I11" s="198">
        <v>40000</v>
      </c>
      <c r="K11" s="144" t="str">
        <f t="shared" si="3"/>
        <v>663</v>
      </c>
      <c r="L11" s="144" t="str">
        <f t="shared" si="4"/>
        <v>66</v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>08006</v>
      </c>
      <c r="B12" s="142" t="str">
        <f>IF(E12="","",VLOOKUP('Opći dio'!$C$3,'Opći dio'!$L$6:$U$135,9,FALSE))</f>
        <v>Sveučilišta i veleučilišta u Republici Hrvatskoj</v>
      </c>
      <c r="C12" s="202">
        <f t="shared" si="0"/>
        <v>61</v>
      </c>
      <c r="D12" s="140" t="str">
        <f t="shared" si="1"/>
        <v>Donacije</v>
      </c>
      <c r="E12" s="153">
        <v>663130000</v>
      </c>
      <c r="F12" s="141" t="str">
        <f t="shared" si="2"/>
        <v>Tekuće donacije od trgovačkih društava</v>
      </c>
      <c r="G12" s="198">
        <v>40000</v>
      </c>
      <c r="H12" s="198">
        <v>40000</v>
      </c>
      <c r="I12" s="198">
        <v>40000</v>
      </c>
      <c r="K12" s="144" t="str">
        <f t="shared" si="3"/>
        <v>663</v>
      </c>
      <c r="L12" s="144" t="str">
        <f t="shared" si="4"/>
        <v>66</v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str">
        <f>IF(E13="","",VLOOKUP('Opći dio'!$C$3,'Opći dio'!$L$6:$U$135,10,FALSE))</f>
        <v>08006</v>
      </c>
      <c r="B13" s="142" t="str">
        <f>IF(E13="","",VLOOKUP('Opći dio'!$C$3,'Opći dio'!$L$6:$U$135,9,FALSE))</f>
        <v>Sveučilišta i veleučilišta u Republici Hrvatskoj</v>
      </c>
      <c r="C13" s="202">
        <f t="shared" si="0"/>
        <v>71</v>
      </c>
      <c r="D13" s="140" t="str">
        <f t="shared" si="1"/>
        <v>Prihodi od nefin. imovine i nadoknade štete s osnova osig.</v>
      </c>
      <c r="E13" s="153">
        <v>721110071</v>
      </c>
      <c r="F13" s="141" t="str">
        <f t="shared" si="2"/>
        <v>Stambeni objekti za zaposlene izvor 71</v>
      </c>
      <c r="G13" s="198">
        <v>7300</v>
      </c>
      <c r="H13" s="198">
        <v>7300</v>
      </c>
      <c r="I13" s="198">
        <v>7300</v>
      </c>
      <c r="K13" s="144" t="str">
        <f t="shared" si="3"/>
        <v>721</v>
      </c>
      <c r="L13" s="144" t="str">
        <f t="shared" si="4"/>
        <v>72</v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/>
      </c>
      <c r="B14" s="142" t="str">
        <f>IF(E14="","",VLOOKUP('Opći dio'!$C$3,'Opći dio'!$L$6:$U$135,9,FALSE))</f>
        <v/>
      </c>
      <c r="C14" s="202" t="str">
        <f t="shared" si="0"/>
        <v/>
      </c>
      <c r="D14" s="140" t="str">
        <f t="shared" si="1"/>
        <v/>
      </c>
      <c r="E14" s="153"/>
      <c r="F14" s="141" t="str">
        <f t="shared" si="2"/>
        <v/>
      </c>
      <c r="G14" s="198"/>
      <c r="H14" s="198"/>
      <c r="I14" s="198"/>
      <c r="K14" s="144" t="str">
        <f t="shared" si="3"/>
        <v/>
      </c>
      <c r="L14" s="144" t="str">
        <f t="shared" si="4"/>
        <v/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/>
      </c>
      <c r="B15" s="142" t="str">
        <f>IF(E15="","",VLOOKUP('Opći dio'!$C$3,'Opći dio'!$L$6:$U$135,9,FALSE))</f>
        <v/>
      </c>
      <c r="C15" s="202" t="str">
        <f t="shared" si="0"/>
        <v/>
      </c>
      <c r="D15" s="140" t="str">
        <f t="shared" si="1"/>
        <v/>
      </c>
      <c r="E15" s="153"/>
      <c r="F15" s="141" t="str">
        <f t="shared" si="2"/>
        <v/>
      </c>
      <c r="G15" s="198"/>
      <c r="H15" s="198"/>
      <c r="I15" s="198"/>
      <c r="K15" s="144" t="str">
        <f t="shared" si="3"/>
        <v/>
      </c>
      <c r="L15" s="144" t="str">
        <f t="shared" si="4"/>
        <v/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/>
      </c>
      <c r="B16" s="142" t="str">
        <f>IF(E16="","",VLOOKUP('Opći dio'!$C$3,'Opći dio'!$L$6:$U$135,9,FALSE))</f>
        <v/>
      </c>
      <c r="C16" s="202" t="str">
        <f t="shared" si="0"/>
        <v/>
      </c>
      <c r="D16" s="140" t="str">
        <f t="shared" si="1"/>
        <v/>
      </c>
      <c r="E16" s="153"/>
      <c r="F16" s="141" t="str">
        <f t="shared" si="2"/>
        <v/>
      </c>
      <c r="G16" s="198"/>
      <c r="H16" s="198"/>
      <c r="I16" s="198"/>
      <c r="K16" s="144" t="str">
        <f t="shared" si="3"/>
        <v/>
      </c>
      <c r="L16" s="144" t="str">
        <f t="shared" si="4"/>
        <v/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/>
      </c>
      <c r="B17" s="142" t="str">
        <f>IF(E17="","",VLOOKUP('Opći dio'!$C$3,'Opći dio'!$L$6:$U$135,9,FALSE))</f>
        <v/>
      </c>
      <c r="C17" s="202" t="str">
        <f t="shared" si="0"/>
        <v/>
      </c>
      <c r="D17" s="140" t="str">
        <f t="shared" si="1"/>
        <v/>
      </c>
      <c r="E17" s="153"/>
      <c r="F17" s="141" t="str">
        <f t="shared" si="2"/>
        <v/>
      </c>
      <c r="G17" s="198"/>
      <c r="H17" s="198"/>
      <c r="I17" s="198"/>
      <c r="K17" s="144" t="str">
        <f t="shared" si="3"/>
        <v/>
      </c>
      <c r="L17" s="144" t="str">
        <f t="shared" si="4"/>
        <v/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/>
      </c>
      <c r="B18" s="142" t="str">
        <f>IF(E18="","",VLOOKUP('Opći dio'!$C$3,'Opći dio'!$L$6:$U$135,9,FALSE))</f>
        <v/>
      </c>
      <c r="C18" s="202" t="str">
        <f t="shared" si="0"/>
        <v/>
      </c>
      <c r="D18" s="140" t="str">
        <f t="shared" si="1"/>
        <v/>
      </c>
      <c r="E18" s="153"/>
      <c r="F18" s="141" t="str">
        <f t="shared" si="2"/>
        <v/>
      </c>
      <c r="G18" s="198"/>
      <c r="H18" s="198"/>
      <c r="I18" s="198"/>
      <c r="K18" s="144" t="str">
        <f t="shared" si="3"/>
        <v/>
      </c>
      <c r="L18" s="144" t="str">
        <f t="shared" si="4"/>
        <v/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/>
      </c>
      <c r="B19" s="142" t="str">
        <f>IF(E19="","",VLOOKUP('Opći dio'!$C$3,'Opći dio'!$L$6:$U$135,9,FALSE))</f>
        <v/>
      </c>
      <c r="C19" s="202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98"/>
      <c r="H19" s="198"/>
      <c r="I19" s="198"/>
      <c r="K19" s="144" t="str">
        <f t="shared" si="3"/>
        <v/>
      </c>
      <c r="L19" s="144" t="str">
        <f t="shared" si="4"/>
        <v/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/>
      </c>
      <c r="B21" s="142" t="str">
        <f>IF(E21="","",VLOOKUP('Opći dio'!$C$3,'Opći dio'!$L$6:$U$135,9,FALSE))</f>
        <v/>
      </c>
      <c r="C21" s="202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98"/>
      <c r="H21" s="198"/>
      <c r="I21" s="198"/>
      <c r="K21" s="144" t="str">
        <f t="shared" si="3"/>
        <v/>
      </c>
      <c r="L21" s="144" t="str">
        <f t="shared" si="4"/>
        <v/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/>
      </c>
      <c r="B23" s="142" t="str">
        <f>IF(E23="","",VLOOKUP('Opći dio'!$C$3,'Opći dio'!$L$6:$U$135,9,FALSE))</f>
        <v/>
      </c>
      <c r="C23" s="202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98"/>
      <c r="H23" s="198"/>
      <c r="I23" s="198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/>
      </c>
      <c r="B24" s="142" t="str">
        <f>IF(E24="","",VLOOKUP('Opći dio'!$C$3,'Opći dio'!$L$6:$U$135,9,FALSE))</f>
        <v/>
      </c>
      <c r="C24" s="202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98"/>
      <c r="H24" s="198"/>
      <c r="I24" s="198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/>
      </c>
      <c r="B26" s="142" t="str">
        <f>IF(E26="","",VLOOKUP('Opći dio'!$C$3,'Opći dio'!$L$6:$U$135,9,FALSE))</f>
        <v/>
      </c>
      <c r="C26" s="202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98"/>
      <c r="H26" s="198"/>
      <c r="I26" s="198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/>
      </c>
      <c r="B28" s="142" t="str">
        <f>IF(E28="","",VLOOKUP('Opći dio'!$C$3,'Opći dio'!$L$6:$U$135,9,FALSE))</f>
        <v/>
      </c>
      <c r="C28" s="202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98"/>
      <c r="H28" s="198"/>
      <c r="I28" s="198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/>
      </c>
      <c r="B29" s="142" t="str">
        <f>IF(E29="","",VLOOKUP('Opći dio'!$C$3,'Opći dio'!$L$6:$U$135,9,FALSE))</f>
        <v/>
      </c>
      <c r="C29" s="202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98"/>
      <c r="H29" s="198"/>
      <c r="I29" s="198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/>
      </c>
      <c r="B31" s="142" t="str">
        <f>IF(E31="","",VLOOKUP('Opći dio'!$C$3,'Opći dio'!$L$6:$U$135,9,FALSE))</f>
        <v/>
      </c>
      <c r="C31" s="202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98"/>
      <c r="H31" s="198"/>
      <c r="I31" s="198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/>
      </c>
      <c r="B32" s="142" t="str">
        <f>IF(E32="","",VLOOKUP('Opći dio'!$C$3,'Opći dio'!$L$6:$U$135,9,FALSE))</f>
        <v/>
      </c>
      <c r="C32" s="202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98"/>
      <c r="H32" s="198"/>
      <c r="I32" s="198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/>
      </c>
      <c r="B33" s="142" t="str">
        <f>IF(E33="","",VLOOKUP('Opći dio'!$C$3,'Opći dio'!$L$6:$U$135,9,FALSE))</f>
        <v/>
      </c>
      <c r="C33" s="202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98"/>
      <c r="H33" s="198"/>
      <c r="I33" s="198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/>
      </c>
      <c r="B35" s="142" t="str">
        <f>IF(E35="","",VLOOKUP('Opći dio'!$C$3,'Opći dio'!$L$6:$U$135,9,FALSE))</f>
        <v/>
      </c>
      <c r="C35" s="202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98"/>
      <c r="H35" s="198"/>
      <c r="I35" s="198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showGridLines="0" topLeftCell="C1" zoomScaleNormal="100" workbookViewId="0">
      <pane ySplit="2" topLeftCell="A99" activePane="bottomLeft" state="frozen"/>
      <selection pane="bottomLeft" activeCell="G41" sqref="G41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2" t="s">
        <v>811</v>
      </c>
      <c r="B1" s="262"/>
      <c r="C1" s="262"/>
      <c r="D1" s="262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str">
        <f>IF(C3="","",VLOOKUP('Opći dio'!$C$3,'Opći dio'!$L$6:$U$135,10,FALSE))</f>
        <v>08006</v>
      </c>
      <c r="B3" s="148" t="str">
        <f>IF(C3="","",VLOOKUP('Opći dio'!$C$3,'Opći dio'!$L$6:$U$135,9,FALSE))</f>
        <v>Sveučilišta i veleučilišta u Republici Hrvatskoj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82</v>
      </c>
      <c r="H3" s="149" t="str">
        <f>IFERROR(VLOOKUP(G3,$X$6:$Y$50,2,FALSE),"")</f>
        <v>REDOVNA DJELATNOST SVEUČILIŠTA U SPLITU</v>
      </c>
      <c r="I3" s="198">
        <v>20486499</v>
      </c>
      <c r="J3" s="198">
        <v>20960734</v>
      </c>
      <c r="K3" s="198">
        <v>21128225</v>
      </c>
      <c r="M3" s="144" t="str">
        <f>LEFT(E3,3)</f>
        <v>311</v>
      </c>
      <c r="N3" s="144" t="str">
        <f>LEFT(E3,2)</f>
        <v>31</v>
      </c>
    </row>
    <row r="4" spans="1:25">
      <c r="A4" s="148" t="str">
        <f>IF(C4="","",VLOOKUP('Opći dio'!$C$3,'Opći dio'!$L$6:$U$135,10,FALSE))</f>
        <v>08006</v>
      </c>
      <c r="B4" s="148" t="str">
        <f>IF(C4="","",VLOOKUP('Opći dio'!$C$3,'Opći dio'!$L$6:$U$135,9,FALSE))</f>
        <v>Sveučilišta i veleučilišta u Republici Hrvatskoj</v>
      </c>
      <c r="C4" s="154">
        <v>11</v>
      </c>
      <c r="D4" s="149" t="str">
        <f t="shared" ref="D4:D67" si="1">IFERROR(VLOOKUP(C4,$O$6:$P$16,2,FALSE),"")</f>
        <v>Opći prihodi i primici</v>
      </c>
      <c r="E4" s="154">
        <v>3132</v>
      </c>
      <c r="F4" s="149" t="str">
        <f t="shared" si="0"/>
        <v>Doprinosi za obvezno zdravstveno osiguranje</v>
      </c>
      <c r="G4" s="201" t="s">
        <v>82</v>
      </c>
      <c r="H4" s="149" t="str">
        <f t="shared" ref="H4:H67" si="2">IFERROR(VLOOKUP(G4,$X$6:$Y$50,2,FALSE),"")</f>
        <v>REDOVNA DJELATNOST SVEUČILIŠTA U SPLITU</v>
      </c>
      <c r="I4" s="198">
        <v>3380272</v>
      </c>
      <c r="J4" s="198">
        <v>3458521</v>
      </c>
      <c r="K4" s="198">
        <v>3486157</v>
      </c>
      <c r="M4" s="144" t="str">
        <f t="shared" ref="M4:M67" si="3">LEFT(E4,3)</f>
        <v>313</v>
      </c>
      <c r="N4" s="144" t="str">
        <f t="shared" ref="N4:N67" si="4">LEFT(E4,2)</f>
        <v>31</v>
      </c>
      <c r="R4" s="150"/>
      <c r="S4" s="150"/>
    </row>
    <row r="5" spans="1:25">
      <c r="A5" s="148" t="str">
        <f>IF(C5="","",VLOOKUP('Opći dio'!$C$3,'Opći dio'!$L$6:$U$135,10,FALSE))</f>
        <v>08006</v>
      </c>
      <c r="B5" s="148" t="str">
        <f>IF(C5="","",VLOOKUP('Opći dio'!$C$3,'Opći dio'!$L$6:$U$135,9,FALSE))</f>
        <v>Sveučilišta i veleučilišta u Republici Hrvatskoj</v>
      </c>
      <c r="C5" s="154">
        <v>11</v>
      </c>
      <c r="D5" s="149" t="str">
        <f t="shared" si="1"/>
        <v>Opći prihodi i primici</v>
      </c>
      <c r="E5" s="154">
        <v>3121</v>
      </c>
      <c r="F5" s="149" t="str">
        <f t="shared" si="0"/>
        <v>Ostali rashodi za zaposlene</v>
      </c>
      <c r="G5" s="201" t="s">
        <v>82</v>
      </c>
      <c r="H5" s="149" t="str">
        <f t="shared" si="2"/>
        <v>REDOVNA DJELATNOST SVEUČILIŠTA U SPLITU</v>
      </c>
      <c r="I5" s="198">
        <v>642975</v>
      </c>
      <c r="J5" s="198">
        <v>642975</v>
      </c>
      <c r="K5" s="198">
        <v>642975</v>
      </c>
      <c r="M5" s="144" t="str">
        <f t="shared" si="3"/>
        <v>312</v>
      </c>
      <c r="N5" s="144" t="str">
        <f t="shared" si="4"/>
        <v>31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08006</v>
      </c>
      <c r="B6" s="148" t="str">
        <f>IF(C6="","",VLOOKUP('Opći dio'!$C$3,'Opći dio'!$L$6:$U$135,9,FALSE))</f>
        <v>Sveučilišta i veleučilišta u Republici Hrvatskoj</v>
      </c>
      <c r="C6" s="154">
        <v>11</v>
      </c>
      <c r="D6" s="149" t="str">
        <f t="shared" si="1"/>
        <v>Opći prihodi i primici</v>
      </c>
      <c r="E6" s="154">
        <v>3212</v>
      </c>
      <c r="F6" s="149" t="str">
        <f t="shared" si="0"/>
        <v>Naknade za prijevoz, za rad na terenu i odvojeni život</v>
      </c>
      <c r="G6" s="201" t="s">
        <v>82</v>
      </c>
      <c r="H6" s="149" t="str">
        <f t="shared" si="2"/>
        <v>REDOVNA DJELATNOST SVEUČILIŠTA U SPLITU</v>
      </c>
      <c r="I6" s="198">
        <v>335119</v>
      </c>
      <c r="J6" s="198">
        <v>335119</v>
      </c>
      <c r="K6" s="198">
        <v>335119</v>
      </c>
      <c r="M6" s="144" t="str">
        <f t="shared" si="3"/>
        <v>321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08006</v>
      </c>
      <c r="B7" s="148" t="str">
        <f>IF(C7="","",VLOOKUP('Opći dio'!$C$3,'Opći dio'!$L$6:$U$135,9,FALSE))</f>
        <v>Sveučilišta i veleučilišta u Republici Hrvatskoj</v>
      </c>
      <c r="C7" s="154">
        <v>11</v>
      </c>
      <c r="D7" s="149" t="str">
        <f t="shared" si="1"/>
        <v>Opći prihodi i primici</v>
      </c>
      <c r="E7" s="154">
        <v>3236</v>
      </c>
      <c r="F7" s="149" t="str">
        <f t="shared" si="0"/>
        <v>Zdravstvene i veterinarske usluge</v>
      </c>
      <c r="G7" s="201" t="s">
        <v>82</v>
      </c>
      <c r="H7" s="149" t="str">
        <f t="shared" si="2"/>
        <v>REDOVNA DJELATNOST SVEUČILIŠTA U SPLITU</v>
      </c>
      <c r="I7" s="198">
        <v>21500</v>
      </c>
      <c r="J7" s="198">
        <v>21500</v>
      </c>
      <c r="K7" s="198">
        <v>21500</v>
      </c>
      <c r="M7" s="144" t="str">
        <f t="shared" si="3"/>
        <v>323</v>
      </c>
      <c r="N7" s="144" t="str">
        <f t="shared" si="4"/>
        <v>32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08006</v>
      </c>
      <c r="B8" s="148" t="str">
        <f>IF(C8="","",VLOOKUP('Opći dio'!$C$3,'Opći dio'!$L$6:$U$135,9,FALSE))</f>
        <v>Sveučilišta i veleučilišta u Republici Hrvatskoj</v>
      </c>
      <c r="C8" s="154">
        <v>11</v>
      </c>
      <c r="D8" s="149" t="str">
        <f t="shared" si="1"/>
        <v>Opći prihodi i primici</v>
      </c>
      <c r="E8" s="154">
        <v>3295</v>
      </c>
      <c r="F8" s="149" t="str">
        <f t="shared" si="0"/>
        <v>Pristojbe i naknade</v>
      </c>
      <c r="G8" s="201" t="s">
        <v>82</v>
      </c>
      <c r="H8" s="149" t="str">
        <f t="shared" si="2"/>
        <v>REDOVNA DJELATNOST SVEUČILIŠTA U SPLITU</v>
      </c>
      <c r="I8" s="198">
        <v>54000</v>
      </c>
      <c r="J8" s="198">
        <v>54000</v>
      </c>
      <c r="K8" s="198">
        <v>54000</v>
      </c>
      <c r="M8" s="144" t="str">
        <f t="shared" si="3"/>
        <v>329</v>
      </c>
      <c r="N8" s="144" t="str">
        <f t="shared" si="4"/>
        <v>32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08006</v>
      </c>
      <c r="B9" s="148" t="str">
        <f>IF(C9="","",VLOOKUP('Opći dio'!$C$3,'Opći dio'!$L$6:$U$135,9,FALSE))</f>
        <v>Sveučilišta i veleučilišta u Republici Hrvatskoj</v>
      </c>
      <c r="C9" s="154">
        <v>51</v>
      </c>
      <c r="D9" s="149" t="str">
        <f t="shared" si="1"/>
        <v>Pomoći EU</v>
      </c>
      <c r="E9" s="154">
        <v>3111</v>
      </c>
      <c r="F9" s="149" t="str">
        <f t="shared" si="0"/>
        <v>Plaće za redovan rad</v>
      </c>
      <c r="G9" s="201" t="s">
        <v>154</v>
      </c>
      <c r="H9" s="149" t="str">
        <f t="shared" si="2"/>
        <v>EU PROJEKTI SVEUČILIŠTE U SPLITU (IZ EVIDENCIJSKIH PRIHODA)</v>
      </c>
      <c r="I9" s="198">
        <v>259654</v>
      </c>
      <c r="J9" s="198">
        <v>35620</v>
      </c>
      <c r="K9" s="198">
        <v>0</v>
      </c>
      <c r="M9" s="144" t="str">
        <f t="shared" si="3"/>
        <v>311</v>
      </c>
      <c r="N9" s="144" t="str">
        <f t="shared" si="4"/>
        <v>31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08006</v>
      </c>
      <c r="B10" s="148" t="str">
        <f>IF(C10="","",VLOOKUP('Opći dio'!$C$3,'Opći dio'!$L$6:$U$135,9,FALSE))</f>
        <v>Sveučilišta i veleučilišta u Republici Hrvatskoj</v>
      </c>
      <c r="C10" s="154">
        <v>51</v>
      </c>
      <c r="D10" s="149" t="str">
        <f t="shared" si="1"/>
        <v>Pomoći EU</v>
      </c>
      <c r="E10" s="154">
        <v>3132</v>
      </c>
      <c r="F10" s="149" t="str">
        <f t="shared" si="0"/>
        <v>Doprinosi za obvezno zdravstveno osiguranje</v>
      </c>
      <c r="G10" s="201" t="s">
        <v>154</v>
      </c>
      <c r="H10" s="149" t="str">
        <f t="shared" si="2"/>
        <v>EU PROJEKTI SVEUČILIŠTE U SPLITU (IZ EVIDENCIJSKIH PRIHODA)</v>
      </c>
      <c r="I10" s="198">
        <v>42843</v>
      </c>
      <c r="J10" s="198">
        <v>5877</v>
      </c>
      <c r="K10" s="198">
        <v>0</v>
      </c>
      <c r="M10" s="144" t="str">
        <f t="shared" si="3"/>
        <v>313</v>
      </c>
      <c r="N10" s="144" t="str">
        <f t="shared" si="4"/>
        <v>31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08006</v>
      </c>
      <c r="B11" s="148" t="str">
        <f>IF(C11="","",VLOOKUP('Opći dio'!$C$3,'Opći dio'!$L$6:$U$135,9,FALSE))</f>
        <v>Sveučilišta i veleučilišta u Republici Hrvatskoj</v>
      </c>
      <c r="C11" s="154">
        <v>51</v>
      </c>
      <c r="D11" s="149" t="str">
        <f t="shared" si="1"/>
        <v>Pomoći EU</v>
      </c>
      <c r="E11" s="154">
        <v>3211</v>
      </c>
      <c r="F11" s="149" t="str">
        <f t="shared" si="0"/>
        <v>Službena putovanja</v>
      </c>
      <c r="G11" s="201" t="s">
        <v>154</v>
      </c>
      <c r="H11" s="149" t="str">
        <f t="shared" si="2"/>
        <v>EU PROJEKTI SVEUČILIŠTE U SPLITU (IZ EVIDENCIJSKIH PRIHODA)</v>
      </c>
      <c r="I11" s="198">
        <v>103963</v>
      </c>
      <c r="J11" s="198">
        <v>19325</v>
      </c>
      <c r="K11" s="198">
        <v>0</v>
      </c>
      <c r="M11" s="144" t="str">
        <f t="shared" si="3"/>
        <v>321</v>
      </c>
      <c r="N11" s="144" t="str">
        <f t="shared" si="4"/>
        <v>32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08006</v>
      </c>
      <c r="B12" s="148" t="str">
        <f>IF(C12="","",VLOOKUP('Opći dio'!$C$3,'Opći dio'!$L$6:$U$135,9,FALSE))</f>
        <v>Sveučilišta i veleučilišta u Republici Hrvatskoj</v>
      </c>
      <c r="C12" s="154">
        <v>51</v>
      </c>
      <c r="D12" s="149" t="str">
        <f t="shared" si="1"/>
        <v>Pomoći EU</v>
      </c>
      <c r="E12" s="154">
        <v>3293</v>
      </c>
      <c r="F12" s="149" t="str">
        <f t="shared" si="0"/>
        <v>Reprezentacija</v>
      </c>
      <c r="G12" s="201" t="s">
        <v>154</v>
      </c>
      <c r="H12" s="149" t="str">
        <f t="shared" si="2"/>
        <v>EU PROJEKTI SVEUČILIŠTE U SPLITU (IZ EVIDENCIJSKIH PRIHODA)</v>
      </c>
      <c r="I12" s="198">
        <v>7500</v>
      </c>
      <c r="J12" s="198">
        <v>7500</v>
      </c>
      <c r="K12" s="198">
        <v>0</v>
      </c>
      <c r="M12" s="144" t="str">
        <f t="shared" si="3"/>
        <v>329</v>
      </c>
      <c r="N12" s="144" t="str">
        <f t="shared" si="4"/>
        <v>32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08006</v>
      </c>
      <c r="B13" s="148" t="str">
        <f>IF(C13="","",VLOOKUP('Opći dio'!$C$3,'Opći dio'!$L$6:$U$135,9,FALSE))</f>
        <v>Sveučilišta i veleučilišta u Republici Hrvatskoj</v>
      </c>
      <c r="C13" s="154">
        <v>11</v>
      </c>
      <c r="D13" s="149" t="str">
        <f t="shared" si="1"/>
        <v>Opći prihodi i primici</v>
      </c>
      <c r="E13" s="154">
        <v>3111</v>
      </c>
      <c r="F13" s="149" t="str">
        <f t="shared" si="0"/>
        <v>Plaće za redovan rad</v>
      </c>
      <c r="G13" s="201" t="s">
        <v>864</v>
      </c>
      <c r="H13" s="149" t="str">
        <f t="shared" si="2"/>
        <v>PROGRAMSKO FINANCIRANJE JAVNIH VISOKIH UČILIŠTA</v>
      </c>
      <c r="I13" s="198">
        <v>1827444</v>
      </c>
      <c r="J13" s="198">
        <v>1919835</v>
      </c>
      <c r="K13" s="198">
        <v>1919835</v>
      </c>
      <c r="M13" s="144" t="str">
        <f t="shared" si="3"/>
        <v>311</v>
      </c>
      <c r="N13" s="144" t="str">
        <f t="shared" si="4"/>
        <v>31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08006</v>
      </c>
      <c r="B14" s="148" t="str">
        <f>IF(C14="","",VLOOKUP('Opći dio'!$C$3,'Opći dio'!$L$6:$U$135,9,FALSE))</f>
        <v>Sveučilišta i veleučilišta u Republici Hrvatskoj</v>
      </c>
      <c r="C14" s="154">
        <v>11</v>
      </c>
      <c r="D14" s="149" t="str">
        <f t="shared" si="1"/>
        <v>Opći prihodi i primici</v>
      </c>
      <c r="E14" s="154">
        <v>3113</v>
      </c>
      <c r="F14" s="149" t="str">
        <f t="shared" si="0"/>
        <v>Plaće za prekovremeni rad</v>
      </c>
      <c r="G14" s="201" t="s">
        <v>864</v>
      </c>
      <c r="H14" s="149" t="str">
        <f t="shared" si="2"/>
        <v>PROGRAMSKO FINANCIRANJE JAVNIH VISOKIH UČILIŠTA</v>
      </c>
      <c r="I14" s="198">
        <v>135000</v>
      </c>
      <c r="J14" s="198">
        <v>135000</v>
      </c>
      <c r="K14" s="198">
        <v>135000</v>
      </c>
      <c r="M14" s="144" t="str">
        <f t="shared" si="3"/>
        <v>311</v>
      </c>
      <c r="N14" s="144" t="str">
        <f t="shared" si="4"/>
        <v>31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08006</v>
      </c>
      <c r="B15" s="148" t="str">
        <f>IF(C15="","",VLOOKUP('Opći dio'!$C$3,'Opći dio'!$L$6:$U$135,9,FALSE))</f>
        <v>Sveučilišta i veleučilišta u Republici Hrvatskoj</v>
      </c>
      <c r="C15" s="154">
        <v>11</v>
      </c>
      <c r="D15" s="149" t="str">
        <f t="shared" si="1"/>
        <v>Opći prihodi i primici</v>
      </c>
      <c r="E15" s="154">
        <v>3132</v>
      </c>
      <c r="F15" s="149" t="str">
        <f t="shared" si="0"/>
        <v>Doprinosi za obvezno zdravstveno osiguranje</v>
      </c>
      <c r="G15" s="201" t="s">
        <v>864</v>
      </c>
      <c r="H15" s="149" t="str">
        <f t="shared" si="2"/>
        <v>PROGRAMSKO FINANCIRANJE JAVNIH VISOKIH UČILIŠTA</v>
      </c>
      <c r="I15" s="198">
        <v>323800</v>
      </c>
      <c r="J15" s="198">
        <v>339045</v>
      </c>
      <c r="K15" s="198">
        <v>339045</v>
      </c>
      <c r="M15" s="144" t="str">
        <f t="shared" si="3"/>
        <v>313</v>
      </c>
      <c r="N15" s="144" t="str">
        <f t="shared" si="4"/>
        <v>31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str">
        <f>IF(C16="","",VLOOKUP('Opći dio'!$C$3,'Opći dio'!$L$6:$U$135,10,FALSE))</f>
        <v>08006</v>
      </c>
      <c r="B16" s="148" t="str">
        <f>IF(C16="","",VLOOKUP('Opći dio'!$C$3,'Opći dio'!$L$6:$U$135,9,FALSE))</f>
        <v>Sveučilišta i veleučilišta u Republici Hrvatskoj</v>
      </c>
      <c r="C16" s="154">
        <v>11</v>
      </c>
      <c r="D16" s="149" t="str">
        <f t="shared" si="1"/>
        <v>Opći prihodi i primici</v>
      </c>
      <c r="E16" s="154">
        <v>3221</v>
      </c>
      <c r="F16" s="149" t="str">
        <f t="shared" si="0"/>
        <v>Uredski materijal i ostali materijalni rashodi</v>
      </c>
      <c r="G16" s="201" t="s">
        <v>864</v>
      </c>
      <c r="H16" s="149" t="str">
        <f t="shared" si="2"/>
        <v>PROGRAMSKO FINANCIRANJE JAVNIH VISOKIH UČILIŠTA</v>
      </c>
      <c r="I16" s="198">
        <v>197330</v>
      </c>
      <c r="J16" s="198">
        <v>197330</v>
      </c>
      <c r="K16" s="198">
        <v>197330</v>
      </c>
      <c r="M16" s="144" t="str">
        <f t="shared" si="3"/>
        <v>322</v>
      </c>
      <c r="N16" s="144" t="str">
        <f t="shared" si="4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str">
        <f>IF(C17="","",VLOOKUP('Opći dio'!$C$3,'Opći dio'!$L$6:$U$135,10,FALSE))</f>
        <v>08006</v>
      </c>
      <c r="B17" s="148" t="str">
        <f>IF(C17="","",VLOOKUP('Opći dio'!$C$3,'Opći dio'!$L$6:$U$135,9,FALSE))</f>
        <v>Sveučilišta i veleučilišta u Republici Hrvatskoj</v>
      </c>
      <c r="C17" s="154">
        <v>11</v>
      </c>
      <c r="D17" s="149" t="str">
        <f t="shared" si="1"/>
        <v>Opći prihodi i primici</v>
      </c>
      <c r="E17" s="154">
        <v>3223</v>
      </c>
      <c r="F17" s="149" t="str">
        <f t="shared" si="0"/>
        <v>Energija</v>
      </c>
      <c r="G17" s="201" t="s">
        <v>864</v>
      </c>
      <c r="H17" s="149" t="str">
        <f t="shared" si="2"/>
        <v>PROGRAMSKO FINANCIRANJE JAVNIH VISOKIH UČILIŠTA</v>
      </c>
      <c r="I17" s="198">
        <v>150000</v>
      </c>
      <c r="J17" s="198">
        <v>150000</v>
      </c>
      <c r="K17" s="198">
        <v>150000</v>
      </c>
      <c r="M17" s="144" t="str">
        <f t="shared" si="3"/>
        <v>322</v>
      </c>
      <c r="N17" s="144" t="str">
        <f t="shared" si="4"/>
        <v>32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str">
        <f>IF(C18="","",VLOOKUP('Opći dio'!$C$3,'Opći dio'!$L$6:$U$135,10,FALSE))</f>
        <v>08006</v>
      </c>
      <c r="B18" s="148" t="str">
        <f>IF(C18="","",VLOOKUP('Opći dio'!$C$3,'Opći dio'!$L$6:$U$135,9,FALSE))</f>
        <v>Sveučilišta i veleučilišta u Republici Hrvatskoj</v>
      </c>
      <c r="C18" s="154">
        <v>11</v>
      </c>
      <c r="D18" s="149" t="str">
        <f t="shared" si="1"/>
        <v>Opći prihodi i primici</v>
      </c>
      <c r="E18" s="154">
        <v>3224</v>
      </c>
      <c r="F18" s="149" t="str">
        <f t="shared" si="0"/>
        <v>Materijal i dijelovi za tekuće i investicijsko održavanje</v>
      </c>
      <c r="G18" s="201" t="s">
        <v>864</v>
      </c>
      <c r="H18" s="149" t="str">
        <f t="shared" si="2"/>
        <v>PROGRAMSKO FINANCIRANJE JAVNIH VISOKIH UČILIŠTA</v>
      </c>
      <c r="I18" s="198">
        <v>55000</v>
      </c>
      <c r="J18" s="198">
        <v>55000</v>
      </c>
      <c r="K18" s="198">
        <v>55000</v>
      </c>
      <c r="M18" s="144" t="str">
        <f t="shared" si="3"/>
        <v>322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str">
        <f>IF(C19="","",VLOOKUP('Opći dio'!$C$3,'Opći dio'!$L$6:$U$135,10,FALSE))</f>
        <v>08006</v>
      </c>
      <c r="B19" s="148" t="str">
        <f>IF(C19="","",VLOOKUP('Opći dio'!$C$3,'Opći dio'!$L$6:$U$135,9,FALSE))</f>
        <v>Sveučilišta i veleučilišta u Republici Hrvatskoj</v>
      </c>
      <c r="C19" s="154">
        <v>11</v>
      </c>
      <c r="D19" s="149" t="str">
        <f t="shared" si="1"/>
        <v>Opći prihodi i primici</v>
      </c>
      <c r="E19" s="154">
        <v>3225</v>
      </c>
      <c r="F19" s="149" t="str">
        <f t="shared" si="0"/>
        <v>Sitni inventar i auto gume</v>
      </c>
      <c r="G19" s="201" t="s">
        <v>864</v>
      </c>
      <c r="H19" s="149" t="str">
        <f t="shared" si="2"/>
        <v>PROGRAMSKO FINANCIRANJE JAVNIH VISOKIH UČILIŠTA</v>
      </c>
      <c r="I19" s="198">
        <v>15000</v>
      </c>
      <c r="J19" s="198">
        <v>15000</v>
      </c>
      <c r="K19" s="198">
        <v>15000</v>
      </c>
      <c r="M19" s="144" t="str">
        <f t="shared" si="3"/>
        <v>322</v>
      </c>
      <c r="N19" s="144" t="str">
        <f t="shared" si="4"/>
        <v>32</v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str">
        <f>IF(C20="","",VLOOKUP('Opći dio'!$C$3,'Opći dio'!$L$6:$U$135,10,FALSE))</f>
        <v>08006</v>
      </c>
      <c r="B20" s="148" t="str">
        <f>IF(C20="","",VLOOKUP('Opći dio'!$C$3,'Opći dio'!$L$6:$U$135,9,FALSE))</f>
        <v>Sveučilišta i veleučilišta u Republici Hrvatskoj</v>
      </c>
      <c r="C20" s="154">
        <v>11</v>
      </c>
      <c r="D20" s="149" t="str">
        <f t="shared" si="1"/>
        <v>Opći prihodi i primici</v>
      </c>
      <c r="E20" s="154">
        <v>3227</v>
      </c>
      <c r="F20" s="149" t="str">
        <f t="shared" si="0"/>
        <v>Službena, radna i zaštitna odjeća i obuća</v>
      </c>
      <c r="G20" s="201" t="s">
        <v>864</v>
      </c>
      <c r="H20" s="149" t="str">
        <f t="shared" si="2"/>
        <v>PROGRAMSKO FINANCIRANJE JAVNIH VISOKIH UČILIŠTA</v>
      </c>
      <c r="I20" s="198">
        <v>4000</v>
      </c>
      <c r="J20" s="198">
        <v>4000</v>
      </c>
      <c r="K20" s="198">
        <v>4000</v>
      </c>
      <c r="M20" s="144" t="str">
        <f t="shared" si="3"/>
        <v>322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str">
        <f>IF(C21="","",VLOOKUP('Opći dio'!$C$3,'Opći dio'!$L$6:$U$135,10,FALSE))</f>
        <v>08006</v>
      </c>
      <c r="B21" s="148" t="str">
        <f>IF(C21="","",VLOOKUP('Opći dio'!$C$3,'Opći dio'!$L$6:$U$135,9,FALSE))</f>
        <v>Sveučilišta i veleučilišta u Republici Hrvatskoj</v>
      </c>
      <c r="C21" s="154">
        <v>11</v>
      </c>
      <c r="D21" s="149" t="str">
        <f t="shared" si="1"/>
        <v>Opći prihodi i primici</v>
      </c>
      <c r="E21" s="154">
        <v>3231</v>
      </c>
      <c r="F21" s="149" t="str">
        <f t="shared" si="0"/>
        <v>Usluge telefona, pošte i prijevoza</v>
      </c>
      <c r="G21" s="201" t="s">
        <v>864</v>
      </c>
      <c r="H21" s="149" t="str">
        <f t="shared" si="2"/>
        <v>PROGRAMSKO FINANCIRANJE JAVNIH VISOKIH UČILIŠTA</v>
      </c>
      <c r="I21" s="198">
        <v>82600</v>
      </c>
      <c r="J21" s="198">
        <v>82600</v>
      </c>
      <c r="K21" s="198">
        <v>82600</v>
      </c>
      <c r="M21" s="144" t="str">
        <f t="shared" si="3"/>
        <v>323</v>
      </c>
      <c r="N21" s="144" t="str">
        <f t="shared" si="4"/>
        <v>32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str">
        <f>IF(C22="","",VLOOKUP('Opći dio'!$C$3,'Opći dio'!$L$6:$U$135,10,FALSE))</f>
        <v>08006</v>
      </c>
      <c r="B22" s="148" t="str">
        <f>IF(C22="","",VLOOKUP('Opći dio'!$C$3,'Opći dio'!$L$6:$U$135,9,FALSE))</f>
        <v>Sveučilišta i veleučilišta u Republici Hrvatskoj</v>
      </c>
      <c r="C22" s="154">
        <v>11</v>
      </c>
      <c r="D22" s="149" t="str">
        <f t="shared" si="1"/>
        <v>Opći prihodi i primici</v>
      </c>
      <c r="E22" s="154">
        <v>3232</v>
      </c>
      <c r="F22" s="149" t="str">
        <f t="shared" si="0"/>
        <v>Usluge tekućeg i investicijskog održavanja</v>
      </c>
      <c r="G22" s="201" t="s">
        <v>864</v>
      </c>
      <c r="H22" s="149" t="str">
        <f t="shared" si="2"/>
        <v>PROGRAMSKO FINANCIRANJE JAVNIH VISOKIH UČILIŠTA</v>
      </c>
      <c r="I22" s="198">
        <v>239056</v>
      </c>
      <c r="J22" s="198">
        <v>239056</v>
      </c>
      <c r="K22" s="198">
        <v>239056</v>
      </c>
      <c r="M22" s="144" t="str">
        <f t="shared" si="3"/>
        <v>323</v>
      </c>
      <c r="N22" s="144" t="str">
        <f t="shared" si="4"/>
        <v>32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str">
        <f>IF(C23="","",VLOOKUP('Opći dio'!$C$3,'Opći dio'!$L$6:$U$135,10,FALSE))</f>
        <v>08006</v>
      </c>
      <c r="B23" s="148" t="str">
        <f>IF(C23="","",VLOOKUP('Opći dio'!$C$3,'Opći dio'!$L$6:$U$135,9,FALSE))</f>
        <v>Sveučilišta i veleučilišta u Republici Hrvatskoj</v>
      </c>
      <c r="C23" s="154">
        <v>11</v>
      </c>
      <c r="D23" s="149" t="str">
        <f t="shared" si="1"/>
        <v>Opći prihodi i primici</v>
      </c>
      <c r="E23" s="154">
        <v>3233</v>
      </c>
      <c r="F23" s="149" t="str">
        <f t="shared" si="0"/>
        <v>Usluge promidžbe i informiranja</v>
      </c>
      <c r="G23" s="201" t="s">
        <v>864</v>
      </c>
      <c r="H23" s="149" t="str">
        <f t="shared" si="2"/>
        <v>PROGRAMSKO FINANCIRANJE JAVNIH VISOKIH UČILIŠTA</v>
      </c>
      <c r="I23" s="198">
        <v>16000</v>
      </c>
      <c r="J23" s="198">
        <v>16000</v>
      </c>
      <c r="K23" s="198">
        <v>16000</v>
      </c>
      <c r="M23" s="144" t="str">
        <f t="shared" si="3"/>
        <v>323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str">
        <f>IF(C24="","",VLOOKUP('Opći dio'!$C$3,'Opći dio'!$L$6:$U$135,10,FALSE))</f>
        <v>08006</v>
      </c>
      <c r="B24" s="148" t="str">
        <f>IF(C24="","",VLOOKUP('Opći dio'!$C$3,'Opći dio'!$L$6:$U$135,9,FALSE))</f>
        <v>Sveučilišta i veleučilišta u Republici Hrvatskoj</v>
      </c>
      <c r="C24" s="154">
        <v>11</v>
      </c>
      <c r="D24" s="149" t="str">
        <f t="shared" si="1"/>
        <v>Opći prihodi i primici</v>
      </c>
      <c r="E24" s="154">
        <v>3234</v>
      </c>
      <c r="F24" s="149" t="str">
        <f t="shared" si="0"/>
        <v>Komunalne usluge</v>
      </c>
      <c r="G24" s="201" t="s">
        <v>864</v>
      </c>
      <c r="H24" s="149" t="str">
        <f t="shared" si="2"/>
        <v>PROGRAMSKO FINANCIRANJE JAVNIH VISOKIH UČILIŠTA</v>
      </c>
      <c r="I24" s="198">
        <v>60570</v>
      </c>
      <c r="J24" s="198">
        <v>60570</v>
      </c>
      <c r="K24" s="198">
        <v>60570</v>
      </c>
      <c r="M24" s="144" t="str">
        <f t="shared" si="3"/>
        <v>323</v>
      </c>
      <c r="N24" s="144" t="str">
        <f t="shared" si="4"/>
        <v>32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str">
        <f>IF(C25="","",VLOOKUP('Opći dio'!$C$3,'Opći dio'!$L$6:$U$135,10,FALSE))</f>
        <v>08006</v>
      </c>
      <c r="B25" s="148" t="str">
        <f>IF(C25="","",VLOOKUP('Opći dio'!$C$3,'Opći dio'!$L$6:$U$135,9,FALSE))</f>
        <v>Sveučilišta i veleučilišta u Republici Hrvatskoj</v>
      </c>
      <c r="C25" s="154">
        <v>11</v>
      </c>
      <c r="D25" s="149" t="str">
        <f t="shared" si="1"/>
        <v>Opći prihodi i primici</v>
      </c>
      <c r="E25" s="154">
        <v>3235</v>
      </c>
      <c r="F25" s="149" t="str">
        <f t="shared" si="0"/>
        <v>Zakupnine i najamnine</v>
      </c>
      <c r="G25" s="201" t="s">
        <v>864</v>
      </c>
      <c r="H25" s="149" t="str">
        <f t="shared" si="2"/>
        <v>PROGRAMSKO FINANCIRANJE JAVNIH VISOKIH UČILIŠTA</v>
      </c>
      <c r="I25" s="198">
        <v>89000</v>
      </c>
      <c r="J25" s="198">
        <v>89000</v>
      </c>
      <c r="K25" s="198">
        <v>89000</v>
      </c>
      <c r="M25" s="144" t="str">
        <f t="shared" si="3"/>
        <v>323</v>
      </c>
      <c r="N25" s="144" t="str">
        <f t="shared" si="4"/>
        <v>32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str">
        <f>IF(C26="","",VLOOKUP('Opći dio'!$C$3,'Opći dio'!$L$6:$U$135,10,FALSE))</f>
        <v>08006</v>
      </c>
      <c r="B26" s="148" t="str">
        <f>IF(C26="","",VLOOKUP('Opći dio'!$C$3,'Opći dio'!$L$6:$U$135,9,FALSE))</f>
        <v>Sveučilišta i veleučilišta u Republici Hrvatskoj</v>
      </c>
      <c r="C26" s="154">
        <v>11</v>
      </c>
      <c r="D26" s="149" t="str">
        <f t="shared" si="1"/>
        <v>Opći prihodi i primici</v>
      </c>
      <c r="E26" s="154">
        <v>3237</v>
      </c>
      <c r="F26" s="149" t="str">
        <f t="shared" si="0"/>
        <v>Intelektualne i osobne usluge</v>
      </c>
      <c r="G26" s="201" t="s">
        <v>864</v>
      </c>
      <c r="H26" s="149" t="str">
        <f t="shared" si="2"/>
        <v>PROGRAMSKO FINANCIRANJE JAVNIH VISOKIH UČILIŠTA</v>
      </c>
      <c r="I26" s="198">
        <v>515235</v>
      </c>
      <c r="J26" s="198">
        <v>515235</v>
      </c>
      <c r="K26" s="198">
        <v>515235</v>
      </c>
      <c r="M26" s="144" t="str">
        <f t="shared" si="3"/>
        <v>323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str">
        <f>IF(C27="","",VLOOKUP('Opći dio'!$C$3,'Opći dio'!$L$6:$U$135,10,FALSE))</f>
        <v>08006</v>
      </c>
      <c r="B27" s="148" t="str">
        <f>IF(C27="","",VLOOKUP('Opći dio'!$C$3,'Opći dio'!$L$6:$U$135,9,FALSE))</f>
        <v>Sveučilišta i veleučilišta u Republici Hrvatskoj</v>
      </c>
      <c r="C27" s="154">
        <v>11</v>
      </c>
      <c r="D27" s="149" t="str">
        <f t="shared" si="1"/>
        <v>Opći prihodi i primici</v>
      </c>
      <c r="E27" s="154">
        <v>3238</v>
      </c>
      <c r="F27" s="149" t="str">
        <f t="shared" si="0"/>
        <v>Računalne usluge</v>
      </c>
      <c r="G27" s="201" t="s">
        <v>864</v>
      </c>
      <c r="H27" s="149" t="str">
        <f t="shared" si="2"/>
        <v>PROGRAMSKO FINANCIRANJE JAVNIH VISOKIH UČILIŠTA</v>
      </c>
      <c r="I27" s="198">
        <v>34000</v>
      </c>
      <c r="J27" s="198">
        <v>34000</v>
      </c>
      <c r="K27" s="198">
        <v>34000</v>
      </c>
      <c r="M27" s="144" t="str">
        <f t="shared" si="3"/>
        <v>323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str">
        <f>IF(C28="","",VLOOKUP('Opći dio'!$C$3,'Opći dio'!$L$6:$U$135,10,FALSE))</f>
        <v>08006</v>
      </c>
      <c r="B28" s="148" t="str">
        <f>IF(C28="","",VLOOKUP('Opći dio'!$C$3,'Opći dio'!$L$6:$U$135,9,FALSE))</f>
        <v>Sveučilišta i veleučilišta u Republici Hrvatskoj</v>
      </c>
      <c r="C28" s="154">
        <v>11</v>
      </c>
      <c r="D28" s="149" t="str">
        <f t="shared" si="1"/>
        <v>Opći prihodi i primici</v>
      </c>
      <c r="E28" s="154">
        <v>3239</v>
      </c>
      <c r="F28" s="149" t="str">
        <f t="shared" si="0"/>
        <v>Ostale usluge</v>
      </c>
      <c r="G28" s="201" t="s">
        <v>864</v>
      </c>
      <c r="H28" s="149" t="str">
        <f t="shared" si="2"/>
        <v>PROGRAMSKO FINANCIRANJE JAVNIH VISOKIH UČILIŠTA</v>
      </c>
      <c r="I28" s="198">
        <v>212500</v>
      </c>
      <c r="J28" s="198">
        <v>212500</v>
      </c>
      <c r="K28" s="198">
        <v>212500</v>
      </c>
      <c r="M28" s="144" t="str">
        <f t="shared" si="3"/>
        <v>323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str">
        <f>IF(C29="","",VLOOKUP('Opći dio'!$C$3,'Opći dio'!$L$6:$U$135,10,FALSE))</f>
        <v>08006</v>
      </c>
      <c r="B29" s="148" t="str">
        <f>IF(C29="","",VLOOKUP('Opći dio'!$C$3,'Opći dio'!$L$6:$U$135,9,FALSE))</f>
        <v>Sveučilišta i veleučilišta u Republici Hrvatskoj</v>
      </c>
      <c r="C29" s="154">
        <v>11</v>
      </c>
      <c r="D29" s="149" t="str">
        <f t="shared" si="1"/>
        <v>Opći prihodi i primici</v>
      </c>
      <c r="E29" s="154">
        <v>3241</v>
      </c>
      <c r="F29" s="149" t="str">
        <f t="shared" si="0"/>
        <v>Naknade troškova osobama izvan radnog odnosa</v>
      </c>
      <c r="G29" s="201" t="s">
        <v>864</v>
      </c>
      <c r="H29" s="149" t="str">
        <f t="shared" si="2"/>
        <v>PROGRAMSKO FINANCIRANJE JAVNIH VISOKIH UČILIŠTA</v>
      </c>
      <c r="I29" s="198">
        <v>43000</v>
      </c>
      <c r="J29" s="198">
        <v>43000</v>
      </c>
      <c r="K29" s="198">
        <v>43000</v>
      </c>
      <c r="M29" s="144" t="str">
        <f t="shared" si="3"/>
        <v>324</v>
      </c>
      <c r="N29" s="144" t="str">
        <f t="shared" si="4"/>
        <v>32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str">
        <f>IF(C30="","",VLOOKUP('Opći dio'!$C$3,'Opći dio'!$L$6:$U$135,10,FALSE))</f>
        <v>08006</v>
      </c>
      <c r="B30" s="148" t="str">
        <f>IF(C30="","",VLOOKUP('Opći dio'!$C$3,'Opći dio'!$L$6:$U$135,9,FALSE))</f>
        <v>Sveučilišta i veleučilišta u Republici Hrvatskoj</v>
      </c>
      <c r="C30" s="154">
        <v>11</v>
      </c>
      <c r="D30" s="149" t="str">
        <f t="shared" si="1"/>
        <v>Opći prihodi i primici</v>
      </c>
      <c r="E30" s="154">
        <v>3293</v>
      </c>
      <c r="F30" s="149" t="str">
        <f t="shared" si="0"/>
        <v>Reprezentacija</v>
      </c>
      <c r="G30" s="201" t="s">
        <v>864</v>
      </c>
      <c r="H30" s="149" t="str">
        <f t="shared" si="2"/>
        <v>PROGRAMSKO FINANCIRANJE JAVNIH VISOKIH UČILIŠTA</v>
      </c>
      <c r="I30" s="198">
        <v>20000</v>
      </c>
      <c r="J30" s="198">
        <v>20000</v>
      </c>
      <c r="K30" s="198">
        <v>20000</v>
      </c>
      <c r="M30" s="144" t="str">
        <f t="shared" si="3"/>
        <v>329</v>
      </c>
      <c r="N30" s="144" t="str">
        <f t="shared" si="4"/>
        <v>32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str">
        <f>IF(C31="","",VLOOKUP('Opći dio'!$C$3,'Opći dio'!$L$6:$U$135,10,FALSE))</f>
        <v>08006</v>
      </c>
      <c r="B31" s="148" t="str">
        <f>IF(C31="","",VLOOKUP('Opći dio'!$C$3,'Opći dio'!$L$6:$U$135,9,FALSE))</f>
        <v>Sveučilišta i veleučilišta u Republici Hrvatskoj</v>
      </c>
      <c r="C31" s="154">
        <v>11</v>
      </c>
      <c r="D31" s="149" t="str">
        <f t="shared" si="1"/>
        <v>Opći prihodi i primici</v>
      </c>
      <c r="E31" s="154">
        <v>3299</v>
      </c>
      <c r="F31" s="149" t="str">
        <f t="shared" si="0"/>
        <v>Ostali nespomenuti rashodi poslovanja</v>
      </c>
      <c r="G31" s="201" t="s">
        <v>864</v>
      </c>
      <c r="H31" s="149" t="str">
        <f t="shared" si="2"/>
        <v>PROGRAMSKO FINANCIRANJE JAVNIH VISOKIH UČILIŠTA</v>
      </c>
      <c r="I31" s="198">
        <v>90000</v>
      </c>
      <c r="J31" s="198">
        <v>90000</v>
      </c>
      <c r="K31" s="198">
        <v>90000</v>
      </c>
      <c r="M31" s="144" t="str">
        <f t="shared" si="3"/>
        <v>329</v>
      </c>
      <c r="N31" s="144" t="str">
        <f t="shared" si="4"/>
        <v>32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str">
        <f>IF(C32="","",VLOOKUP('Opći dio'!$C$3,'Opći dio'!$L$6:$U$135,10,FALSE))</f>
        <v>08006</v>
      </c>
      <c r="B32" s="148" t="str">
        <f>IF(C32="","",VLOOKUP('Opći dio'!$C$3,'Opći dio'!$L$6:$U$135,9,FALSE))</f>
        <v>Sveučilišta i veleučilišta u Republici Hrvatskoj</v>
      </c>
      <c r="C32" s="154">
        <v>11</v>
      </c>
      <c r="D32" s="149" t="str">
        <f t="shared" si="1"/>
        <v>Opći prihodi i primici</v>
      </c>
      <c r="E32" s="154">
        <v>3431</v>
      </c>
      <c r="F32" s="149" t="str">
        <f t="shared" si="0"/>
        <v>Bankarske usluge i usluge platnog prometa</v>
      </c>
      <c r="G32" s="201" t="s">
        <v>864</v>
      </c>
      <c r="H32" s="149" t="str">
        <f t="shared" si="2"/>
        <v>PROGRAMSKO FINANCIRANJE JAVNIH VISOKIH UČILIŠTA</v>
      </c>
      <c r="I32" s="198">
        <v>11500</v>
      </c>
      <c r="J32" s="198">
        <v>11500</v>
      </c>
      <c r="K32" s="198">
        <v>11500</v>
      </c>
      <c r="M32" s="144" t="str">
        <f t="shared" si="3"/>
        <v>343</v>
      </c>
      <c r="N32" s="144" t="str">
        <f t="shared" si="4"/>
        <v>34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str">
        <f>IF(C33="","",VLOOKUP('Opći dio'!$C$3,'Opći dio'!$L$6:$U$135,10,FALSE))</f>
        <v>08006</v>
      </c>
      <c r="B33" s="148" t="str">
        <f>IF(C33="","",VLOOKUP('Opći dio'!$C$3,'Opći dio'!$L$6:$U$135,9,FALSE))</f>
        <v>Sveučilišta i veleučilišta u Republici Hrvatskoj</v>
      </c>
      <c r="C33" s="154">
        <v>11</v>
      </c>
      <c r="D33" s="149" t="str">
        <f t="shared" si="1"/>
        <v>Opći prihodi i primici</v>
      </c>
      <c r="E33" s="154">
        <v>3721</v>
      </c>
      <c r="F33" s="149" t="str">
        <f t="shared" si="0"/>
        <v>Naknade građanima i kućanstvima u novcu</v>
      </c>
      <c r="G33" s="201" t="s">
        <v>864</v>
      </c>
      <c r="H33" s="149" t="str">
        <f t="shared" si="2"/>
        <v>PROGRAMSKO FINANCIRANJE JAVNIH VISOKIH UČILIŠTA</v>
      </c>
      <c r="I33" s="198">
        <v>80000</v>
      </c>
      <c r="J33" s="198">
        <v>80000</v>
      </c>
      <c r="K33" s="198">
        <v>80000</v>
      </c>
      <c r="M33" s="144" t="str">
        <f t="shared" si="3"/>
        <v>372</v>
      </c>
      <c r="N33" s="144" t="str">
        <f t="shared" si="4"/>
        <v>37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str">
        <f>IF(C34="","",VLOOKUP('Opći dio'!$C$3,'Opći dio'!$L$6:$U$135,10,FALSE))</f>
        <v>08006</v>
      </c>
      <c r="B34" s="148" t="str">
        <f>IF(C34="","",VLOOKUP('Opći dio'!$C$3,'Opći dio'!$L$6:$U$135,9,FALSE))</f>
        <v>Sveučilišta i veleučilišta u Republici Hrvatskoj</v>
      </c>
      <c r="C34" s="154">
        <v>11</v>
      </c>
      <c r="D34" s="149" t="str">
        <f t="shared" si="1"/>
        <v>Opći prihodi i primici</v>
      </c>
      <c r="E34" s="154">
        <v>4241</v>
      </c>
      <c r="F34" s="149" t="str">
        <f t="shared" si="0"/>
        <v>Knjige</v>
      </c>
      <c r="G34" s="201" t="s">
        <v>864</v>
      </c>
      <c r="H34" s="149" t="str">
        <f t="shared" si="2"/>
        <v>PROGRAMSKO FINANCIRANJE JAVNIH VISOKIH UČILIŠTA</v>
      </c>
      <c r="I34" s="198">
        <v>4000</v>
      </c>
      <c r="J34" s="198">
        <v>4000</v>
      </c>
      <c r="K34" s="198">
        <v>4000</v>
      </c>
      <c r="M34" s="144" t="str">
        <f t="shared" si="3"/>
        <v>424</v>
      </c>
      <c r="N34" s="144" t="str">
        <f t="shared" si="4"/>
        <v>42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str">
        <f>IF(C35="","",VLOOKUP('Opći dio'!$C$3,'Opći dio'!$L$6:$U$135,10,FALSE))</f>
        <v>08006</v>
      </c>
      <c r="B35" s="148" t="str">
        <f>IF(C35="","",VLOOKUP('Opći dio'!$C$3,'Opći dio'!$L$6:$U$135,9,FALSE))</f>
        <v>Sveučilišta i veleučilišta u Republici Hrvatskoj</v>
      </c>
      <c r="C35" s="154">
        <v>11</v>
      </c>
      <c r="D35" s="149" t="str">
        <f t="shared" si="1"/>
        <v>Opći prihodi i primici</v>
      </c>
      <c r="E35" s="154">
        <v>3111</v>
      </c>
      <c r="F35" s="149" t="str">
        <f t="shared" si="0"/>
        <v>Plaće za redovan rad</v>
      </c>
      <c r="G35" s="201" t="s">
        <v>864</v>
      </c>
      <c r="H35" s="149" t="str">
        <f t="shared" si="2"/>
        <v>PROGRAMSKO FINANCIRANJE JAVNIH VISOKIH UČILIŠTA</v>
      </c>
      <c r="I35" s="198">
        <v>187819</v>
      </c>
      <c r="J35" s="198">
        <v>187819</v>
      </c>
      <c r="K35" s="198">
        <v>187819</v>
      </c>
      <c r="M35" s="144" t="str">
        <f t="shared" si="3"/>
        <v>311</v>
      </c>
      <c r="N35" s="144" t="str">
        <f t="shared" si="4"/>
        <v>31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str">
        <f>IF(C36="","",VLOOKUP('Opći dio'!$C$3,'Opći dio'!$L$6:$U$135,10,FALSE))</f>
        <v>08006</v>
      </c>
      <c r="B36" s="148" t="str">
        <f>IF(C36="","",VLOOKUP('Opći dio'!$C$3,'Opći dio'!$L$6:$U$135,9,FALSE))</f>
        <v>Sveučilišta i veleučilišta u Republici Hrvatskoj</v>
      </c>
      <c r="C36" s="154">
        <v>11</v>
      </c>
      <c r="D36" s="149" t="str">
        <f t="shared" si="1"/>
        <v>Opći prihodi i primici</v>
      </c>
      <c r="E36" s="154">
        <v>3132</v>
      </c>
      <c r="F36" s="149" t="str">
        <f t="shared" si="0"/>
        <v>Doprinosi za obvezno zdravstveno osiguranje</v>
      </c>
      <c r="G36" s="201" t="s">
        <v>864</v>
      </c>
      <c r="H36" s="149" t="str">
        <f t="shared" si="2"/>
        <v>PROGRAMSKO FINANCIRANJE JAVNIH VISOKIH UČILIŠTA</v>
      </c>
      <c r="I36" s="198">
        <v>30990</v>
      </c>
      <c r="J36" s="198">
        <v>30990</v>
      </c>
      <c r="K36" s="198">
        <v>30990</v>
      </c>
      <c r="M36" s="144" t="str">
        <f t="shared" si="3"/>
        <v>313</v>
      </c>
      <c r="N36" s="144" t="str">
        <f t="shared" si="4"/>
        <v>31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str">
        <f>IF(C37="","",VLOOKUP('Opći dio'!$C$3,'Opći dio'!$L$6:$U$135,10,FALSE))</f>
        <v>08006</v>
      </c>
      <c r="B37" s="148" t="str">
        <f>IF(C37="","",VLOOKUP('Opći dio'!$C$3,'Opći dio'!$L$6:$U$135,9,FALSE))</f>
        <v>Sveučilišta i veleučilišta u Republici Hrvatskoj</v>
      </c>
      <c r="C37" s="154">
        <v>11</v>
      </c>
      <c r="D37" s="149" t="str">
        <f t="shared" si="1"/>
        <v>Opći prihodi i primici</v>
      </c>
      <c r="E37" s="154">
        <v>3213</v>
      </c>
      <c r="F37" s="149" t="str">
        <f t="shared" si="0"/>
        <v>Stručno usavršavanje zaposlenika</v>
      </c>
      <c r="G37" s="201" t="s">
        <v>864</v>
      </c>
      <c r="H37" s="149" t="str">
        <f t="shared" si="2"/>
        <v>PROGRAMSKO FINANCIRANJE JAVNIH VISOKIH UČILIŠTA</v>
      </c>
      <c r="I37" s="198">
        <v>18366</v>
      </c>
      <c r="J37" s="198">
        <v>18366</v>
      </c>
      <c r="K37" s="198">
        <v>18366</v>
      </c>
      <c r="M37" s="144" t="str">
        <f t="shared" si="3"/>
        <v>321</v>
      </c>
      <c r="N37" s="144" t="str">
        <f t="shared" si="4"/>
        <v>32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str">
        <f>IF(C38="","",VLOOKUP('Opći dio'!$C$3,'Opći dio'!$L$6:$U$135,10,FALSE))</f>
        <v>08006</v>
      </c>
      <c r="B38" s="148" t="str">
        <f>IF(C38="","",VLOOKUP('Opći dio'!$C$3,'Opći dio'!$L$6:$U$135,9,FALSE))</f>
        <v>Sveučilišta i veleučilišta u Republici Hrvatskoj</v>
      </c>
      <c r="C38" s="154">
        <v>11</v>
      </c>
      <c r="D38" s="149" t="str">
        <f t="shared" si="1"/>
        <v>Opći prihodi i primici</v>
      </c>
      <c r="E38" s="154">
        <v>3235</v>
      </c>
      <c r="F38" s="149" t="str">
        <f t="shared" si="0"/>
        <v>Zakupnine i najamnine</v>
      </c>
      <c r="G38" s="201" t="s">
        <v>82</v>
      </c>
      <c r="H38" s="149" t="str">
        <f t="shared" si="2"/>
        <v>REDOVNA DJELATNOST SVEUČILIŠTA U SPLITU</v>
      </c>
      <c r="I38" s="198">
        <v>341000</v>
      </c>
      <c r="J38" s="198">
        <v>341000</v>
      </c>
      <c r="K38" s="198">
        <v>341000</v>
      </c>
      <c r="M38" s="144" t="str">
        <f t="shared" si="3"/>
        <v>323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str">
        <f>IF(C39="","",VLOOKUP('Opći dio'!$C$3,'Opći dio'!$L$6:$U$135,10,FALSE))</f>
        <v>08006</v>
      </c>
      <c r="B39" s="148" t="str">
        <f>IF(C39="","",VLOOKUP('Opći dio'!$C$3,'Opći dio'!$L$6:$U$135,9,FALSE))</f>
        <v>Sveučilišta i veleučilišta u Republici Hrvatskoj</v>
      </c>
      <c r="C39" s="154">
        <v>11</v>
      </c>
      <c r="D39" s="149" t="str">
        <f t="shared" si="1"/>
        <v>Opći prihodi i primici</v>
      </c>
      <c r="E39" s="154">
        <v>3237</v>
      </c>
      <c r="F39" s="149" t="str">
        <f t="shared" si="0"/>
        <v>Intelektualne i osobne usluge</v>
      </c>
      <c r="G39" s="201" t="s">
        <v>864</v>
      </c>
      <c r="H39" s="149" t="str">
        <f t="shared" si="2"/>
        <v>PROGRAMSKO FINANCIRANJE JAVNIH VISOKIH UČILIŠTA</v>
      </c>
      <c r="I39" s="198">
        <v>26000</v>
      </c>
      <c r="J39" s="198">
        <v>26000</v>
      </c>
      <c r="K39" s="198">
        <v>26000</v>
      </c>
      <c r="M39" s="144" t="str">
        <f t="shared" si="3"/>
        <v>323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str">
        <f>IF(C40="","",VLOOKUP('Opći dio'!$C$3,'Opći dio'!$L$6:$U$135,10,FALSE))</f>
        <v>08006</v>
      </c>
      <c r="B40" s="148" t="str">
        <f>IF(C40="","",VLOOKUP('Opći dio'!$C$3,'Opći dio'!$L$6:$U$135,9,FALSE))</f>
        <v>Sveučilišta i veleučilišta u Republici Hrvatskoj</v>
      </c>
      <c r="C40" s="154">
        <v>11</v>
      </c>
      <c r="D40" s="149" t="str">
        <f t="shared" si="1"/>
        <v>Opći prihodi i primici</v>
      </c>
      <c r="E40" s="154">
        <v>3239</v>
      </c>
      <c r="F40" s="149" t="str">
        <f t="shared" si="0"/>
        <v>Ostale usluge</v>
      </c>
      <c r="G40" s="201" t="s">
        <v>864</v>
      </c>
      <c r="H40" s="149" t="str">
        <f t="shared" si="2"/>
        <v>PROGRAMSKO FINANCIRANJE JAVNIH VISOKIH UČILIŠTA</v>
      </c>
      <c r="I40" s="198">
        <v>25800</v>
      </c>
      <c r="J40" s="198">
        <v>25800</v>
      </c>
      <c r="K40" s="198">
        <v>25800</v>
      </c>
      <c r="M40" s="144" t="str">
        <f t="shared" si="3"/>
        <v>323</v>
      </c>
      <c r="N40" s="144" t="str">
        <f t="shared" si="4"/>
        <v>32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str">
        <f>IF(C41="","",VLOOKUP('Opći dio'!$C$3,'Opći dio'!$L$6:$U$135,10,FALSE))</f>
        <v>08006</v>
      </c>
      <c r="B41" s="148" t="str">
        <f>IF(C41="","",VLOOKUP('Opći dio'!$C$3,'Opći dio'!$L$6:$U$135,9,FALSE))</f>
        <v>Sveučilišta i veleučilišta u Republici Hrvatskoj</v>
      </c>
      <c r="C41" s="154">
        <v>11</v>
      </c>
      <c r="D41" s="149" t="str">
        <f t="shared" si="1"/>
        <v>Opći prihodi i primici</v>
      </c>
      <c r="E41" s="154">
        <v>4241</v>
      </c>
      <c r="F41" s="149" t="str">
        <f t="shared" si="0"/>
        <v>Knjige</v>
      </c>
      <c r="G41" s="201" t="s">
        <v>864</v>
      </c>
      <c r="H41" s="149" t="str">
        <f t="shared" si="2"/>
        <v>PROGRAMSKO FINANCIRANJE JAVNIH VISOKIH UČILIŠTA</v>
      </c>
      <c r="I41" s="198">
        <v>20000</v>
      </c>
      <c r="J41" s="198">
        <v>20000</v>
      </c>
      <c r="K41" s="198">
        <v>20000</v>
      </c>
      <c r="M41" s="144" t="str">
        <f t="shared" si="3"/>
        <v>424</v>
      </c>
      <c r="N41" s="144" t="str">
        <f t="shared" si="4"/>
        <v>42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str">
        <f>IF(C42="","",VLOOKUP('Opći dio'!$C$3,'Opći dio'!$L$6:$U$135,10,FALSE))</f>
        <v>08006</v>
      </c>
      <c r="B42" s="148" t="str">
        <f>IF(C42="","",VLOOKUP('Opći dio'!$C$3,'Opći dio'!$L$6:$U$135,9,FALSE))</f>
        <v>Sveučilišta i veleučilišta u Republici Hrvatskoj</v>
      </c>
      <c r="C42" s="154">
        <v>43</v>
      </c>
      <c r="D42" s="149" t="str">
        <f t="shared" si="1"/>
        <v>Ostali prihodi za posebne namjene</v>
      </c>
      <c r="E42" s="154">
        <v>3111</v>
      </c>
      <c r="F42" s="149" t="str">
        <f t="shared" si="0"/>
        <v>Plaće za redovan rad</v>
      </c>
      <c r="G42" s="201" t="s">
        <v>200</v>
      </c>
      <c r="H42" s="149" t="str">
        <f t="shared" si="2"/>
        <v>REDOVNA DJELATNOST SVEUČILIŠTA U SPLITU (IZ EVIDENCIJSKIH PRIHODA)</v>
      </c>
      <c r="I42" s="198">
        <v>2589291</v>
      </c>
      <c r="J42" s="198">
        <v>2589291</v>
      </c>
      <c r="K42" s="198">
        <v>2589291</v>
      </c>
      <c r="M42" s="144" t="str">
        <f t="shared" si="3"/>
        <v>311</v>
      </c>
      <c r="N42" s="144" t="str">
        <f t="shared" si="4"/>
        <v>31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str">
        <f>IF(C43="","",VLOOKUP('Opći dio'!$C$3,'Opći dio'!$L$6:$U$135,10,FALSE))</f>
        <v>08006</v>
      </c>
      <c r="B43" s="148" t="str">
        <f>IF(C43="","",VLOOKUP('Opći dio'!$C$3,'Opći dio'!$L$6:$U$135,9,FALSE))</f>
        <v>Sveučilišta i veleučilišta u Republici Hrvatskoj</v>
      </c>
      <c r="C43" s="154">
        <v>43</v>
      </c>
      <c r="D43" s="149" t="str">
        <f t="shared" si="1"/>
        <v>Ostali prihodi za posebne namjene</v>
      </c>
      <c r="E43" s="154">
        <v>3113</v>
      </c>
      <c r="F43" s="149" t="str">
        <f t="shared" si="0"/>
        <v>Plaće za prekovremeni rad</v>
      </c>
      <c r="G43" s="201" t="s">
        <v>200</v>
      </c>
      <c r="H43" s="149" t="str">
        <f t="shared" si="2"/>
        <v>REDOVNA DJELATNOST SVEUČILIŠTA U SPLITU (IZ EVIDENCIJSKIH PRIHODA)</v>
      </c>
      <c r="I43" s="198">
        <v>135000</v>
      </c>
      <c r="J43" s="198">
        <v>135000</v>
      </c>
      <c r="K43" s="198">
        <v>135000</v>
      </c>
      <c r="M43" s="144" t="str">
        <f t="shared" si="3"/>
        <v>311</v>
      </c>
      <c r="N43" s="144" t="str">
        <f t="shared" si="4"/>
        <v>31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str">
        <f>IF(C44="","",VLOOKUP('Opći dio'!$C$3,'Opći dio'!$L$6:$U$135,10,FALSE))</f>
        <v>08006</v>
      </c>
      <c r="B44" s="148" t="str">
        <f>IF(C44="","",VLOOKUP('Opći dio'!$C$3,'Opći dio'!$L$6:$U$135,9,FALSE))</f>
        <v>Sveučilišta i veleučilišta u Republici Hrvatskoj</v>
      </c>
      <c r="C44" s="154">
        <v>43</v>
      </c>
      <c r="D44" s="149" t="str">
        <f t="shared" si="1"/>
        <v>Ostali prihodi za posebne namjene</v>
      </c>
      <c r="E44" s="154">
        <v>3121</v>
      </c>
      <c r="F44" s="149" t="str">
        <f t="shared" si="0"/>
        <v>Ostali rashodi za zaposlene</v>
      </c>
      <c r="G44" s="201" t="s">
        <v>200</v>
      </c>
      <c r="H44" s="149" t="str">
        <f t="shared" si="2"/>
        <v>REDOVNA DJELATNOST SVEUČILIŠTA U SPLITU (IZ EVIDENCIJSKIH PRIHODA)</v>
      </c>
      <c r="I44" s="198">
        <v>208992</v>
      </c>
      <c r="J44" s="198">
        <v>208992</v>
      </c>
      <c r="K44" s="198">
        <v>208992</v>
      </c>
      <c r="M44" s="144" t="str">
        <f t="shared" si="3"/>
        <v>312</v>
      </c>
      <c r="N44" s="144" t="str">
        <f t="shared" si="4"/>
        <v>31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str">
        <f>IF(C45="","",VLOOKUP('Opći dio'!$C$3,'Opći dio'!$L$6:$U$135,10,FALSE))</f>
        <v>08006</v>
      </c>
      <c r="B45" s="148" t="str">
        <f>IF(C45="","",VLOOKUP('Opći dio'!$C$3,'Opći dio'!$L$6:$U$135,9,FALSE))</f>
        <v>Sveučilišta i veleučilišta u Republici Hrvatskoj</v>
      </c>
      <c r="C45" s="154">
        <v>43</v>
      </c>
      <c r="D45" s="149" t="str">
        <f t="shared" si="1"/>
        <v>Ostali prihodi za posebne namjene</v>
      </c>
      <c r="E45" s="154">
        <v>3132</v>
      </c>
      <c r="F45" s="149" t="str">
        <f t="shared" si="0"/>
        <v>Doprinosi za obvezno zdravstveno osiguranje</v>
      </c>
      <c r="G45" s="201" t="s">
        <v>200</v>
      </c>
      <c r="H45" s="149" t="str">
        <f t="shared" si="2"/>
        <v>REDOVNA DJELATNOST SVEUČILIŠTA U SPLITU (IZ EVIDENCIJSKIH PRIHODA)</v>
      </c>
      <c r="I45" s="198">
        <v>382665</v>
      </c>
      <c r="J45" s="198">
        <v>382665</v>
      </c>
      <c r="K45" s="198">
        <v>382665</v>
      </c>
      <c r="M45" s="144" t="str">
        <f t="shared" si="3"/>
        <v>313</v>
      </c>
      <c r="N45" s="144" t="str">
        <f t="shared" si="4"/>
        <v>31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str">
        <f>IF(C46="","",VLOOKUP('Opći dio'!$C$3,'Opći dio'!$L$6:$U$135,10,FALSE))</f>
        <v>08006</v>
      </c>
      <c r="B46" s="148" t="str">
        <f>IF(C46="","",VLOOKUP('Opći dio'!$C$3,'Opći dio'!$L$6:$U$135,9,FALSE))</f>
        <v>Sveučilišta i veleučilišta u Republici Hrvatskoj</v>
      </c>
      <c r="C46" s="154">
        <v>43</v>
      </c>
      <c r="D46" s="149" t="str">
        <f t="shared" si="1"/>
        <v>Ostali prihodi za posebne namjene</v>
      </c>
      <c r="E46" s="154">
        <v>3211</v>
      </c>
      <c r="F46" s="149" t="str">
        <f t="shared" si="0"/>
        <v>Službena putovanja</v>
      </c>
      <c r="G46" s="201" t="s">
        <v>200</v>
      </c>
      <c r="H46" s="149" t="str">
        <f t="shared" si="2"/>
        <v>REDOVNA DJELATNOST SVEUČILIŠTA U SPLITU (IZ EVIDENCIJSKIH PRIHODA)</v>
      </c>
      <c r="I46" s="198">
        <v>150000</v>
      </c>
      <c r="J46" s="198">
        <v>146700</v>
      </c>
      <c r="K46" s="198">
        <v>142700</v>
      </c>
      <c r="M46" s="144" t="str">
        <f t="shared" si="3"/>
        <v>321</v>
      </c>
      <c r="N46" s="144" t="str">
        <f t="shared" si="4"/>
        <v>32</v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str">
        <f>IF(C47="","",VLOOKUP('Opći dio'!$C$3,'Opći dio'!$L$6:$U$135,10,FALSE))</f>
        <v>08006</v>
      </c>
      <c r="B47" s="148" t="str">
        <f>IF(C47="","",VLOOKUP('Opći dio'!$C$3,'Opći dio'!$L$6:$U$135,9,FALSE))</f>
        <v>Sveučilišta i veleučilišta u Republici Hrvatskoj</v>
      </c>
      <c r="C47" s="154">
        <v>43</v>
      </c>
      <c r="D47" s="149" t="str">
        <f t="shared" si="1"/>
        <v>Ostali prihodi za posebne namjene</v>
      </c>
      <c r="E47" s="154">
        <v>3212</v>
      </c>
      <c r="F47" s="149" t="str">
        <f t="shared" si="0"/>
        <v>Naknade za prijevoz, za rad na terenu i odvojeni život</v>
      </c>
      <c r="G47" s="201" t="s">
        <v>200</v>
      </c>
      <c r="H47" s="149" t="str">
        <f t="shared" si="2"/>
        <v>REDOVNA DJELATNOST SVEUČILIŠTA U SPLITU (IZ EVIDENCIJSKIH PRIHODA)</v>
      </c>
      <c r="I47" s="198">
        <v>31500</v>
      </c>
      <c r="J47" s="198">
        <v>31500</v>
      </c>
      <c r="K47" s="198">
        <v>31500</v>
      </c>
      <c r="M47" s="144" t="str">
        <f t="shared" si="3"/>
        <v>321</v>
      </c>
      <c r="N47" s="144" t="str">
        <f t="shared" si="4"/>
        <v>32</v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str">
        <f>IF(C48="","",VLOOKUP('Opći dio'!$C$3,'Opći dio'!$L$6:$U$135,10,FALSE))</f>
        <v>08006</v>
      </c>
      <c r="B48" s="148" t="str">
        <f>IF(C48="","",VLOOKUP('Opći dio'!$C$3,'Opći dio'!$L$6:$U$135,9,FALSE))</f>
        <v>Sveučilišta i veleučilišta u Republici Hrvatskoj</v>
      </c>
      <c r="C48" s="154">
        <v>43</v>
      </c>
      <c r="D48" s="149" t="str">
        <f t="shared" si="1"/>
        <v>Ostali prihodi za posebne namjene</v>
      </c>
      <c r="E48" s="154">
        <v>3213</v>
      </c>
      <c r="F48" s="149" t="str">
        <f t="shared" si="0"/>
        <v>Stručno usavršavanje zaposlenika</v>
      </c>
      <c r="G48" s="201" t="s">
        <v>200</v>
      </c>
      <c r="H48" s="149" t="str">
        <f t="shared" si="2"/>
        <v>REDOVNA DJELATNOST SVEUČILIŠTA U SPLITU (IZ EVIDENCIJSKIH PRIHODA)</v>
      </c>
      <c r="I48" s="198">
        <v>180000</v>
      </c>
      <c r="J48" s="198">
        <v>180000</v>
      </c>
      <c r="K48" s="198">
        <v>180000</v>
      </c>
      <c r="M48" s="144" t="str">
        <f t="shared" si="3"/>
        <v>321</v>
      </c>
      <c r="N48" s="144" t="str">
        <f t="shared" si="4"/>
        <v>32</v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str">
        <f>IF(C49="","",VLOOKUP('Opći dio'!$C$3,'Opći dio'!$L$6:$U$135,10,FALSE))</f>
        <v>08006</v>
      </c>
      <c r="B49" s="148" t="str">
        <f>IF(C49="","",VLOOKUP('Opći dio'!$C$3,'Opći dio'!$L$6:$U$135,9,FALSE))</f>
        <v>Sveučilišta i veleučilišta u Republici Hrvatskoj</v>
      </c>
      <c r="C49" s="154">
        <v>43</v>
      </c>
      <c r="D49" s="149" t="str">
        <f t="shared" si="1"/>
        <v>Ostali prihodi za posebne namjene</v>
      </c>
      <c r="E49" s="154">
        <v>3214</v>
      </c>
      <c r="F49" s="149" t="str">
        <f t="shared" si="0"/>
        <v>Ostale naknade troškova zaposlenima</v>
      </c>
      <c r="G49" s="201" t="s">
        <v>200</v>
      </c>
      <c r="H49" s="149" t="str">
        <f t="shared" si="2"/>
        <v>REDOVNA DJELATNOST SVEUČILIŠTA U SPLITU (IZ EVIDENCIJSKIH PRIHODA)</v>
      </c>
      <c r="I49" s="198">
        <v>115000</v>
      </c>
      <c r="J49" s="198">
        <v>115000</v>
      </c>
      <c r="K49" s="198">
        <v>115000</v>
      </c>
      <c r="M49" s="144" t="str">
        <f t="shared" si="3"/>
        <v>321</v>
      </c>
      <c r="N49" s="144" t="str">
        <f t="shared" si="4"/>
        <v>32</v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str">
        <f>IF(C50="","",VLOOKUP('Opći dio'!$C$3,'Opći dio'!$L$6:$U$135,10,FALSE))</f>
        <v>08006</v>
      </c>
      <c r="B50" s="148" t="str">
        <f>IF(C50="","",VLOOKUP('Opći dio'!$C$3,'Opći dio'!$L$6:$U$135,9,FALSE))</f>
        <v>Sveučilišta i veleučilišta u Republici Hrvatskoj</v>
      </c>
      <c r="C50" s="154">
        <v>43</v>
      </c>
      <c r="D50" s="149" t="str">
        <f t="shared" si="1"/>
        <v>Ostali prihodi za posebne namjene</v>
      </c>
      <c r="E50" s="154">
        <v>3221</v>
      </c>
      <c r="F50" s="149" t="str">
        <f t="shared" si="0"/>
        <v>Uredski materijal i ostali materijalni rashodi</v>
      </c>
      <c r="G50" s="201" t="s">
        <v>200</v>
      </c>
      <c r="H50" s="149" t="str">
        <f t="shared" si="2"/>
        <v>REDOVNA DJELATNOST SVEUČILIŠTA U SPLITU (IZ EVIDENCIJSKIH PRIHODA)</v>
      </c>
      <c r="I50" s="198">
        <v>309245</v>
      </c>
      <c r="J50" s="198">
        <v>309245</v>
      </c>
      <c r="K50" s="198">
        <v>309245</v>
      </c>
      <c r="M50" s="144" t="str">
        <f t="shared" si="3"/>
        <v>322</v>
      </c>
      <c r="N50" s="144" t="str">
        <f t="shared" si="4"/>
        <v>32</v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str">
        <f>IF(C51="","",VLOOKUP('Opći dio'!$C$3,'Opći dio'!$L$6:$U$135,10,FALSE))</f>
        <v>08006</v>
      </c>
      <c r="B51" s="148" t="str">
        <f>IF(C51="","",VLOOKUP('Opći dio'!$C$3,'Opći dio'!$L$6:$U$135,9,FALSE))</f>
        <v>Sveučilišta i veleučilišta u Republici Hrvatskoj</v>
      </c>
      <c r="C51" s="154">
        <v>43</v>
      </c>
      <c r="D51" s="149" t="str">
        <f t="shared" si="1"/>
        <v>Ostali prihodi za posebne namjene</v>
      </c>
      <c r="E51" s="154">
        <v>3223</v>
      </c>
      <c r="F51" s="149" t="str">
        <f t="shared" si="0"/>
        <v>Energija</v>
      </c>
      <c r="G51" s="201" t="s">
        <v>200</v>
      </c>
      <c r="H51" s="149" t="str">
        <f t="shared" si="2"/>
        <v>REDOVNA DJELATNOST SVEUČILIŠTA U SPLITU (IZ EVIDENCIJSKIH PRIHODA)</v>
      </c>
      <c r="I51" s="198">
        <v>350000</v>
      </c>
      <c r="J51" s="198">
        <v>350000</v>
      </c>
      <c r="K51" s="198">
        <v>350000</v>
      </c>
      <c r="M51" s="144" t="str">
        <f t="shared" si="3"/>
        <v>322</v>
      </c>
      <c r="N51" s="144" t="str">
        <f t="shared" si="4"/>
        <v>32</v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>08006</v>
      </c>
      <c r="B52" s="148" t="str">
        <f>IF(C52="","",VLOOKUP('Opći dio'!$C$3,'Opći dio'!$L$6:$U$135,9,FALSE))</f>
        <v>Sveučilišta i veleučilišta u Republici Hrvatskoj</v>
      </c>
      <c r="C52" s="154">
        <v>43</v>
      </c>
      <c r="D52" s="149" t="str">
        <f t="shared" si="1"/>
        <v>Ostali prihodi za posebne namjene</v>
      </c>
      <c r="E52" s="154">
        <v>3224</v>
      </c>
      <c r="F52" s="149" t="str">
        <f t="shared" si="0"/>
        <v>Materijal i dijelovi za tekuće i investicijsko održavanje</v>
      </c>
      <c r="G52" s="201" t="s">
        <v>200</v>
      </c>
      <c r="H52" s="149" t="str">
        <f t="shared" si="2"/>
        <v>REDOVNA DJELATNOST SVEUČILIŠTA U SPLITU (IZ EVIDENCIJSKIH PRIHODA)</v>
      </c>
      <c r="I52" s="198">
        <v>65000</v>
      </c>
      <c r="J52" s="198">
        <v>65000</v>
      </c>
      <c r="K52" s="198">
        <v>65000</v>
      </c>
      <c r="M52" s="144" t="str">
        <f t="shared" si="3"/>
        <v>322</v>
      </c>
      <c r="N52" s="144" t="str">
        <f t="shared" si="4"/>
        <v>32</v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>08006</v>
      </c>
      <c r="B53" s="148" t="str">
        <f>IF(C53="","",VLOOKUP('Opći dio'!$C$3,'Opći dio'!$L$6:$U$135,9,FALSE))</f>
        <v>Sveučilišta i veleučilišta u Republici Hrvatskoj</v>
      </c>
      <c r="C53" s="154">
        <v>43</v>
      </c>
      <c r="D53" s="149" t="str">
        <f t="shared" si="1"/>
        <v>Ostali prihodi za posebne namjene</v>
      </c>
      <c r="E53" s="154">
        <v>3225</v>
      </c>
      <c r="F53" s="149" t="str">
        <f t="shared" si="0"/>
        <v>Sitni inventar i auto gume</v>
      </c>
      <c r="G53" s="201" t="s">
        <v>200</v>
      </c>
      <c r="H53" s="149" t="str">
        <f t="shared" si="2"/>
        <v>REDOVNA DJELATNOST SVEUČILIŠTA U SPLITU (IZ EVIDENCIJSKIH PRIHODA)</v>
      </c>
      <c r="I53" s="198">
        <v>15000</v>
      </c>
      <c r="J53" s="198">
        <v>15000</v>
      </c>
      <c r="K53" s="198">
        <v>15000</v>
      </c>
      <c r="M53" s="144" t="str">
        <f t="shared" si="3"/>
        <v>322</v>
      </c>
      <c r="N53" s="144" t="str">
        <f t="shared" si="4"/>
        <v>32</v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>08006</v>
      </c>
      <c r="B54" s="148" t="str">
        <f>IF(C54="","",VLOOKUP('Opći dio'!$C$3,'Opći dio'!$L$6:$U$135,9,FALSE))</f>
        <v>Sveučilišta i veleučilišta u Republici Hrvatskoj</v>
      </c>
      <c r="C54" s="154">
        <v>43</v>
      </c>
      <c r="D54" s="149" t="str">
        <f t="shared" si="1"/>
        <v>Ostali prihodi za posebne namjene</v>
      </c>
      <c r="E54" s="154">
        <v>3227</v>
      </c>
      <c r="F54" s="149" t="str">
        <f t="shared" si="0"/>
        <v>Službena, radna i zaštitna odjeća i obuća</v>
      </c>
      <c r="G54" s="201" t="s">
        <v>200</v>
      </c>
      <c r="H54" s="149" t="str">
        <f t="shared" si="2"/>
        <v>REDOVNA DJELATNOST SVEUČILIŠTA U SPLITU (IZ EVIDENCIJSKIH PRIHODA)</v>
      </c>
      <c r="I54" s="198">
        <v>4000</v>
      </c>
      <c r="J54" s="198">
        <v>4000</v>
      </c>
      <c r="K54" s="198">
        <v>4000</v>
      </c>
      <c r="M54" s="144" t="str">
        <f t="shared" si="3"/>
        <v>322</v>
      </c>
      <c r="N54" s="144" t="str">
        <f t="shared" si="4"/>
        <v>32</v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>08006</v>
      </c>
      <c r="B55" s="148" t="str">
        <f>IF(C55="","",VLOOKUP('Opći dio'!$C$3,'Opći dio'!$L$6:$U$135,9,FALSE))</f>
        <v>Sveučilišta i veleučilišta u Republici Hrvatskoj</v>
      </c>
      <c r="C55" s="154">
        <v>43</v>
      </c>
      <c r="D55" s="149" t="str">
        <f t="shared" si="1"/>
        <v>Ostali prihodi za posebne namjene</v>
      </c>
      <c r="E55" s="154">
        <v>3231</v>
      </c>
      <c r="F55" s="149" t="str">
        <f t="shared" si="0"/>
        <v>Usluge telefona, pošte i prijevoza</v>
      </c>
      <c r="G55" s="201" t="s">
        <v>200</v>
      </c>
      <c r="H55" s="149" t="str">
        <f t="shared" si="2"/>
        <v>REDOVNA DJELATNOST SVEUČILIŠTA U SPLITU (IZ EVIDENCIJSKIH PRIHODA)</v>
      </c>
      <c r="I55" s="198">
        <v>150900</v>
      </c>
      <c r="J55" s="198">
        <v>150900</v>
      </c>
      <c r="K55" s="198">
        <v>150900</v>
      </c>
      <c r="M55" s="144" t="str">
        <f t="shared" si="3"/>
        <v>323</v>
      </c>
      <c r="N55" s="144" t="str">
        <f t="shared" si="4"/>
        <v>32</v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>08006</v>
      </c>
      <c r="B56" s="148" t="str">
        <f>IF(C56="","",VLOOKUP('Opći dio'!$C$3,'Opći dio'!$L$6:$U$135,9,FALSE))</f>
        <v>Sveučilišta i veleučilišta u Republici Hrvatskoj</v>
      </c>
      <c r="C56" s="154">
        <v>43</v>
      </c>
      <c r="D56" s="149" t="str">
        <f t="shared" si="1"/>
        <v>Ostali prihodi za posebne namjene</v>
      </c>
      <c r="E56" s="154">
        <v>3232</v>
      </c>
      <c r="F56" s="149" t="str">
        <f t="shared" si="0"/>
        <v>Usluge tekućeg i investicijskog održavanja</v>
      </c>
      <c r="G56" s="201" t="s">
        <v>200</v>
      </c>
      <c r="H56" s="149" t="str">
        <f t="shared" si="2"/>
        <v>REDOVNA DJELATNOST SVEUČILIŠTA U SPLITU (IZ EVIDENCIJSKIH PRIHODA)</v>
      </c>
      <c r="I56" s="198">
        <v>325000</v>
      </c>
      <c r="J56" s="198">
        <v>325000</v>
      </c>
      <c r="K56" s="198">
        <v>325000</v>
      </c>
      <c r="M56" s="144" t="str">
        <f t="shared" si="3"/>
        <v>323</v>
      </c>
      <c r="N56" s="144" t="str">
        <f t="shared" si="4"/>
        <v>32</v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>08006</v>
      </c>
      <c r="B57" s="148" t="str">
        <f>IF(C57="","",VLOOKUP('Opći dio'!$C$3,'Opći dio'!$L$6:$U$135,9,FALSE))</f>
        <v>Sveučilišta i veleučilišta u Republici Hrvatskoj</v>
      </c>
      <c r="C57" s="154">
        <v>43</v>
      </c>
      <c r="D57" s="149" t="str">
        <f t="shared" si="1"/>
        <v>Ostali prihodi za posebne namjene</v>
      </c>
      <c r="E57" s="154">
        <v>3233</v>
      </c>
      <c r="F57" s="149" t="str">
        <f t="shared" si="0"/>
        <v>Usluge promidžbe i informiranja</v>
      </c>
      <c r="G57" s="201" t="s">
        <v>200</v>
      </c>
      <c r="H57" s="149" t="str">
        <f t="shared" si="2"/>
        <v>REDOVNA DJELATNOST SVEUČILIŠTA U SPLITU (IZ EVIDENCIJSKIH PRIHODA)</v>
      </c>
      <c r="I57" s="198">
        <v>44000</v>
      </c>
      <c r="J57" s="198">
        <v>44000</v>
      </c>
      <c r="K57" s="198">
        <v>44000</v>
      </c>
      <c r="M57" s="144" t="str">
        <f t="shared" si="3"/>
        <v>323</v>
      </c>
      <c r="N57" s="144" t="str">
        <f t="shared" si="4"/>
        <v>32</v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>08006</v>
      </c>
      <c r="B58" s="148" t="str">
        <f>IF(C58="","",VLOOKUP('Opći dio'!$C$3,'Opći dio'!$L$6:$U$135,9,FALSE))</f>
        <v>Sveučilišta i veleučilišta u Republici Hrvatskoj</v>
      </c>
      <c r="C58" s="154">
        <v>43</v>
      </c>
      <c r="D58" s="149" t="str">
        <f t="shared" si="1"/>
        <v>Ostali prihodi za posebne namjene</v>
      </c>
      <c r="E58" s="154">
        <v>3234</v>
      </c>
      <c r="F58" s="149" t="str">
        <f t="shared" si="0"/>
        <v>Komunalne usluge</v>
      </c>
      <c r="G58" s="201" t="s">
        <v>200</v>
      </c>
      <c r="H58" s="149" t="str">
        <f t="shared" si="2"/>
        <v>REDOVNA DJELATNOST SVEUČILIŠTA U SPLITU (IZ EVIDENCIJSKIH PRIHODA)</v>
      </c>
      <c r="I58" s="198">
        <v>114430</v>
      </c>
      <c r="J58" s="198">
        <v>114430</v>
      </c>
      <c r="K58" s="198">
        <v>114430</v>
      </c>
      <c r="M58" s="144" t="str">
        <f t="shared" si="3"/>
        <v>323</v>
      </c>
      <c r="N58" s="144" t="str">
        <f t="shared" si="4"/>
        <v>32</v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>08006</v>
      </c>
      <c r="B59" s="148" t="str">
        <f>IF(C59="","",VLOOKUP('Opći dio'!$C$3,'Opći dio'!$L$6:$U$135,9,FALSE))</f>
        <v>Sveučilišta i veleučilišta u Republici Hrvatskoj</v>
      </c>
      <c r="C59" s="154">
        <v>43</v>
      </c>
      <c r="D59" s="149" t="str">
        <f t="shared" si="1"/>
        <v>Ostali prihodi za posebne namjene</v>
      </c>
      <c r="E59" s="154">
        <v>3235</v>
      </c>
      <c r="F59" s="149" t="str">
        <f t="shared" si="0"/>
        <v>Zakupnine i najamnine</v>
      </c>
      <c r="G59" s="201" t="s">
        <v>200</v>
      </c>
      <c r="H59" s="149" t="str">
        <f t="shared" si="2"/>
        <v>REDOVNA DJELATNOST SVEUČILIŠTA U SPLITU (IZ EVIDENCIJSKIH PRIHODA)</v>
      </c>
      <c r="I59" s="198">
        <v>100000</v>
      </c>
      <c r="J59" s="198">
        <v>100000</v>
      </c>
      <c r="K59" s="198">
        <v>100000</v>
      </c>
      <c r="M59" s="144" t="str">
        <f t="shared" si="3"/>
        <v>323</v>
      </c>
      <c r="N59" s="144" t="str">
        <f t="shared" si="4"/>
        <v>32</v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>08006</v>
      </c>
      <c r="B60" s="148" t="str">
        <f>IF(C60="","",VLOOKUP('Opći dio'!$C$3,'Opći dio'!$L$6:$U$135,9,FALSE))</f>
        <v>Sveučilišta i veleučilišta u Republici Hrvatskoj</v>
      </c>
      <c r="C60" s="154">
        <v>43</v>
      </c>
      <c r="D60" s="149" t="str">
        <f t="shared" si="1"/>
        <v>Ostali prihodi za posebne namjene</v>
      </c>
      <c r="E60" s="154">
        <v>3237</v>
      </c>
      <c r="F60" s="149" t="str">
        <f t="shared" si="0"/>
        <v>Intelektualne i osobne usluge</v>
      </c>
      <c r="G60" s="201" t="s">
        <v>200</v>
      </c>
      <c r="H60" s="149" t="str">
        <f t="shared" si="2"/>
        <v>REDOVNA DJELATNOST SVEUČILIŠTA U SPLITU (IZ EVIDENCIJSKIH PRIHODA)</v>
      </c>
      <c r="I60" s="198">
        <v>607765</v>
      </c>
      <c r="J60" s="198">
        <v>607765</v>
      </c>
      <c r="K60" s="198">
        <v>607765</v>
      </c>
      <c r="M60" s="144" t="str">
        <f t="shared" si="3"/>
        <v>323</v>
      </c>
      <c r="N60" s="144" t="str">
        <f t="shared" si="4"/>
        <v>32</v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>08006</v>
      </c>
      <c r="B61" s="148" t="str">
        <f>IF(C61="","",VLOOKUP('Opći dio'!$C$3,'Opći dio'!$L$6:$U$135,9,FALSE))</f>
        <v>Sveučilišta i veleučilišta u Republici Hrvatskoj</v>
      </c>
      <c r="C61" s="154">
        <v>43</v>
      </c>
      <c r="D61" s="149" t="str">
        <f t="shared" si="1"/>
        <v>Ostali prihodi za posebne namjene</v>
      </c>
      <c r="E61" s="154">
        <v>3238</v>
      </c>
      <c r="F61" s="149" t="str">
        <f t="shared" si="0"/>
        <v>Računalne usluge</v>
      </c>
      <c r="G61" s="201" t="s">
        <v>200</v>
      </c>
      <c r="H61" s="149" t="str">
        <f t="shared" si="2"/>
        <v>REDOVNA DJELATNOST SVEUČILIŠTA U SPLITU (IZ EVIDENCIJSKIH PRIHODA)</v>
      </c>
      <c r="I61" s="198">
        <v>29000</v>
      </c>
      <c r="J61" s="198">
        <v>29000</v>
      </c>
      <c r="K61" s="198">
        <v>29000</v>
      </c>
      <c r="M61" s="144" t="str">
        <f t="shared" si="3"/>
        <v>323</v>
      </c>
      <c r="N61" s="144" t="str">
        <f t="shared" si="4"/>
        <v>32</v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>08006</v>
      </c>
      <c r="B62" s="148" t="str">
        <f>IF(C62="","",VLOOKUP('Opći dio'!$C$3,'Opći dio'!$L$6:$U$135,9,FALSE))</f>
        <v>Sveučilišta i veleučilišta u Republici Hrvatskoj</v>
      </c>
      <c r="C62" s="154">
        <v>43</v>
      </c>
      <c r="D62" s="149" t="str">
        <f t="shared" si="1"/>
        <v>Ostali prihodi za posebne namjene</v>
      </c>
      <c r="E62" s="154">
        <v>3239</v>
      </c>
      <c r="F62" s="149" t="str">
        <f t="shared" si="0"/>
        <v>Ostale usluge</v>
      </c>
      <c r="G62" s="201" t="s">
        <v>200</v>
      </c>
      <c r="H62" s="149" t="str">
        <f t="shared" si="2"/>
        <v>REDOVNA DJELATNOST SVEUČILIŠTA U SPLITU (IZ EVIDENCIJSKIH PRIHODA)</v>
      </c>
      <c r="I62" s="198">
        <v>261700</v>
      </c>
      <c r="J62" s="198">
        <v>261700</v>
      </c>
      <c r="K62" s="198">
        <v>261700</v>
      </c>
      <c r="M62" s="144" t="str">
        <f t="shared" si="3"/>
        <v>323</v>
      </c>
      <c r="N62" s="144" t="str">
        <f t="shared" si="4"/>
        <v>32</v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>08006</v>
      </c>
      <c r="B63" s="148" t="str">
        <f>IF(C63="","",VLOOKUP('Opći dio'!$C$3,'Opći dio'!$L$6:$U$135,9,FALSE))</f>
        <v>Sveučilišta i veleučilišta u Republici Hrvatskoj</v>
      </c>
      <c r="C63" s="154">
        <v>43</v>
      </c>
      <c r="D63" s="149" t="str">
        <f t="shared" si="1"/>
        <v>Ostali prihodi za posebne namjene</v>
      </c>
      <c r="E63" s="154">
        <v>3241</v>
      </c>
      <c r="F63" s="149" t="str">
        <f t="shared" si="0"/>
        <v>Naknade troškova osobama izvan radnog odnosa</v>
      </c>
      <c r="G63" s="201" t="s">
        <v>200</v>
      </c>
      <c r="H63" s="149" t="str">
        <f t="shared" si="2"/>
        <v>REDOVNA DJELATNOST SVEUČILIŠTA U SPLITU (IZ EVIDENCIJSKIH PRIHODA)</v>
      </c>
      <c r="I63" s="198">
        <v>74858</v>
      </c>
      <c r="J63" s="198">
        <v>74858</v>
      </c>
      <c r="K63" s="198">
        <v>74858</v>
      </c>
      <c r="M63" s="144" t="str">
        <f t="shared" si="3"/>
        <v>324</v>
      </c>
      <c r="N63" s="144" t="str">
        <f t="shared" si="4"/>
        <v>32</v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>08006</v>
      </c>
      <c r="B64" s="148" t="str">
        <f>IF(C64="","",VLOOKUP('Opći dio'!$C$3,'Opći dio'!$L$6:$U$135,9,FALSE))</f>
        <v>Sveučilišta i veleučilišta u Republici Hrvatskoj</v>
      </c>
      <c r="C64" s="154">
        <v>43</v>
      </c>
      <c r="D64" s="149" t="str">
        <f t="shared" si="1"/>
        <v>Ostali prihodi za posebne namjene</v>
      </c>
      <c r="E64" s="154">
        <v>3292</v>
      </c>
      <c r="F64" s="149" t="str">
        <f t="shared" si="0"/>
        <v>Premije osiguranja</v>
      </c>
      <c r="G64" s="201" t="s">
        <v>200</v>
      </c>
      <c r="H64" s="149" t="str">
        <f t="shared" si="2"/>
        <v>REDOVNA DJELATNOST SVEUČILIŠTA U SPLITU (IZ EVIDENCIJSKIH PRIHODA)</v>
      </c>
      <c r="I64" s="198">
        <v>95000</v>
      </c>
      <c r="J64" s="198">
        <v>95000</v>
      </c>
      <c r="K64" s="198">
        <v>95000</v>
      </c>
      <c r="M64" s="144" t="str">
        <f t="shared" si="3"/>
        <v>329</v>
      </c>
      <c r="N64" s="144" t="str">
        <f t="shared" si="4"/>
        <v>32</v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>08006</v>
      </c>
      <c r="B65" s="148" t="str">
        <f>IF(C65="","",VLOOKUP('Opći dio'!$C$3,'Opći dio'!$L$6:$U$135,9,FALSE))</f>
        <v>Sveučilišta i veleučilišta u Republici Hrvatskoj</v>
      </c>
      <c r="C65" s="154">
        <v>43</v>
      </c>
      <c r="D65" s="149" t="str">
        <f t="shared" si="1"/>
        <v>Ostali prihodi za posebne namjene</v>
      </c>
      <c r="E65" s="154">
        <v>3293</v>
      </c>
      <c r="F65" s="149" t="str">
        <f t="shared" si="0"/>
        <v>Reprezentacija</v>
      </c>
      <c r="G65" s="201" t="s">
        <v>200</v>
      </c>
      <c r="H65" s="149" t="str">
        <f t="shared" si="2"/>
        <v>REDOVNA DJELATNOST SVEUČILIŠTA U SPLITU (IZ EVIDENCIJSKIH PRIHODA)</v>
      </c>
      <c r="I65" s="198">
        <v>55000</v>
      </c>
      <c r="J65" s="198">
        <v>41100</v>
      </c>
      <c r="K65" s="198">
        <v>63100</v>
      </c>
      <c r="M65" s="144" t="str">
        <f t="shared" si="3"/>
        <v>329</v>
      </c>
      <c r="N65" s="144" t="str">
        <f t="shared" si="4"/>
        <v>32</v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>08006</v>
      </c>
      <c r="B66" s="148" t="str">
        <f>IF(C66="","",VLOOKUP('Opći dio'!$C$3,'Opći dio'!$L$6:$U$135,9,FALSE))</f>
        <v>Sveučilišta i veleučilišta u Republici Hrvatskoj</v>
      </c>
      <c r="C66" s="154">
        <v>43</v>
      </c>
      <c r="D66" s="149" t="str">
        <f t="shared" si="1"/>
        <v>Ostali prihodi za posebne namjene</v>
      </c>
      <c r="E66" s="154">
        <v>3294</v>
      </c>
      <c r="F66" s="149" t="str">
        <f t="shared" si="0"/>
        <v>Članarine i norme</v>
      </c>
      <c r="G66" s="201" t="s">
        <v>200</v>
      </c>
      <c r="H66" s="149" t="str">
        <f t="shared" si="2"/>
        <v>REDOVNA DJELATNOST SVEUČILIŠTA U SPLITU (IZ EVIDENCIJSKIH PRIHODA)</v>
      </c>
      <c r="I66" s="198">
        <v>150000</v>
      </c>
      <c r="J66" s="198">
        <v>150000</v>
      </c>
      <c r="K66" s="198">
        <v>150000</v>
      </c>
      <c r="M66" s="144" t="str">
        <f t="shared" si="3"/>
        <v>329</v>
      </c>
      <c r="N66" s="144" t="str">
        <f t="shared" si="4"/>
        <v>32</v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>08006</v>
      </c>
      <c r="B67" s="148" t="str">
        <f>IF(C67="","",VLOOKUP('Opći dio'!$C$3,'Opći dio'!$L$6:$U$135,9,FALSE))</f>
        <v>Sveučilišta i veleučilišta u Republici Hrvatskoj</v>
      </c>
      <c r="C67" s="154">
        <v>43</v>
      </c>
      <c r="D67" s="149" t="str">
        <f t="shared" si="1"/>
        <v>Ostali prihodi za posebne namjene</v>
      </c>
      <c r="E67" s="154">
        <v>3299</v>
      </c>
      <c r="F67" s="149" t="str">
        <f t="shared" ref="F67:F130" si="11">IFERROR(VLOOKUP(E67,$R$5:$T$129,2,FALSE),"")</f>
        <v>Ostali nespomenuti rashodi poslovanja</v>
      </c>
      <c r="G67" s="201" t="s">
        <v>200</v>
      </c>
      <c r="H67" s="149" t="str">
        <f t="shared" si="2"/>
        <v>REDOVNA DJELATNOST SVEUČILIŠTA U SPLITU (IZ EVIDENCIJSKIH PRIHODA)</v>
      </c>
      <c r="I67" s="198">
        <v>1428259</v>
      </c>
      <c r="J67" s="198">
        <v>1428259</v>
      </c>
      <c r="K67" s="198">
        <v>1428259</v>
      </c>
      <c r="M67" s="144" t="str">
        <f t="shared" si="3"/>
        <v>329</v>
      </c>
      <c r="N67" s="144" t="str">
        <f t="shared" si="4"/>
        <v>32</v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>08006</v>
      </c>
      <c r="B68" s="148" t="str">
        <f>IF(C68="","",VLOOKUP('Opći dio'!$C$3,'Opći dio'!$L$6:$U$135,9,FALSE))</f>
        <v>Sveučilišta i veleučilišta u Republici Hrvatskoj</v>
      </c>
      <c r="C68" s="154">
        <v>43</v>
      </c>
      <c r="D68" s="149" t="str">
        <f t="shared" ref="D68:D131" si="12">IFERROR(VLOOKUP(C68,$O$6:$P$16,2,FALSE),"")</f>
        <v>Ostali prihodi za posebne namjene</v>
      </c>
      <c r="E68" s="154">
        <v>3431</v>
      </c>
      <c r="F68" s="149" t="str">
        <f t="shared" si="11"/>
        <v>Bankarske usluge i usluge platnog prometa</v>
      </c>
      <c r="G68" s="201" t="s">
        <v>200</v>
      </c>
      <c r="H68" s="149" t="str">
        <f t="shared" ref="H68:H131" si="13">IFERROR(VLOOKUP(G68,$X$6:$Y$50,2,FALSE),"")</f>
        <v>REDOVNA DJELATNOST SVEUČILIŠTA U SPLITU (IZ EVIDENCIJSKIH PRIHODA)</v>
      </c>
      <c r="I68" s="198">
        <v>13580</v>
      </c>
      <c r="J68" s="198">
        <v>13580</v>
      </c>
      <c r="K68" s="198">
        <v>13580</v>
      </c>
      <c r="M68" s="144" t="str">
        <f t="shared" ref="M68:M131" si="14">LEFT(E68,3)</f>
        <v>343</v>
      </c>
      <c r="N68" s="144" t="str">
        <f t="shared" ref="N68:N131" si="15">LEFT(E68,2)</f>
        <v>34</v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>08006</v>
      </c>
      <c r="B69" s="148" t="str">
        <f>IF(C69="","",VLOOKUP('Opći dio'!$C$3,'Opći dio'!$L$6:$U$135,9,FALSE))</f>
        <v>Sveučilišta i veleučilišta u Republici Hrvatskoj</v>
      </c>
      <c r="C69" s="154">
        <v>43</v>
      </c>
      <c r="D69" s="149" t="str">
        <f t="shared" si="12"/>
        <v>Ostali prihodi za posebne namjene</v>
      </c>
      <c r="E69" s="154">
        <v>3721</v>
      </c>
      <c r="F69" s="149" t="str">
        <f t="shared" si="11"/>
        <v>Naknade građanima i kućanstvima u novcu</v>
      </c>
      <c r="G69" s="201" t="s">
        <v>200</v>
      </c>
      <c r="H69" s="149" t="str">
        <f t="shared" si="13"/>
        <v>REDOVNA DJELATNOST SVEUČILIŠTA U SPLITU (IZ EVIDENCIJSKIH PRIHODA)</v>
      </c>
      <c r="I69" s="198">
        <v>80000</v>
      </c>
      <c r="J69" s="198">
        <v>80000</v>
      </c>
      <c r="K69" s="198">
        <v>80000</v>
      </c>
      <c r="M69" s="144" t="str">
        <f t="shared" si="14"/>
        <v>372</v>
      </c>
      <c r="N69" s="144" t="str">
        <f t="shared" si="15"/>
        <v>37</v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>08006</v>
      </c>
      <c r="B70" s="148" t="str">
        <f>IF(C70="","",VLOOKUP('Opći dio'!$C$3,'Opći dio'!$L$6:$U$135,9,FALSE))</f>
        <v>Sveučilišta i veleučilišta u Republici Hrvatskoj</v>
      </c>
      <c r="C70" s="154">
        <v>43</v>
      </c>
      <c r="D70" s="149" t="str">
        <f t="shared" si="12"/>
        <v>Ostali prihodi za posebne namjene</v>
      </c>
      <c r="E70" s="154">
        <v>4221</v>
      </c>
      <c r="F70" s="149" t="str">
        <f t="shared" si="11"/>
        <v>Uredska oprema i namještaj</v>
      </c>
      <c r="G70" s="201" t="s">
        <v>200</v>
      </c>
      <c r="H70" s="149" t="str">
        <f t="shared" si="13"/>
        <v>REDOVNA DJELATNOST SVEUČILIŠTA U SPLITU (IZ EVIDENCIJSKIH PRIHODA)</v>
      </c>
      <c r="I70" s="198">
        <v>130000</v>
      </c>
      <c r="J70" s="198">
        <v>90000</v>
      </c>
      <c r="K70" s="198">
        <v>70000</v>
      </c>
      <c r="M70" s="144" t="str">
        <f t="shared" si="14"/>
        <v>422</v>
      </c>
      <c r="N70" s="144" t="str">
        <f t="shared" si="15"/>
        <v>42</v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>08006</v>
      </c>
      <c r="B71" s="148" t="str">
        <f>IF(C71="","",VLOOKUP('Opći dio'!$C$3,'Opći dio'!$L$6:$U$135,9,FALSE))</f>
        <v>Sveučilišta i veleučilišta u Republici Hrvatskoj</v>
      </c>
      <c r="C71" s="154">
        <v>43</v>
      </c>
      <c r="D71" s="149" t="str">
        <f t="shared" si="12"/>
        <v>Ostali prihodi za posebne namjene</v>
      </c>
      <c r="E71" s="154">
        <v>4222</v>
      </c>
      <c r="F71" s="149" t="str">
        <f t="shared" si="11"/>
        <v>Komunikacijska oprema</v>
      </c>
      <c r="G71" s="201" t="s">
        <v>200</v>
      </c>
      <c r="H71" s="149" t="str">
        <f t="shared" si="13"/>
        <v>REDOVNA DJELATNOST SVEUČILIŠTA U SPLITU (IZ EVIDENCIJSKIH PRIHODA)</v>
      </c>
      <c r="I71" s="198">
        <v>10000</v>
      </c>
      <c r="J71" s="198">
        <v>10000</v>
      </c>
      <c r="K71" s="198">
        <v>10000</v>
      </c>
      <c r="M71" s="144" t="str">
        <f t="shared" si="14"/>
        <v>422</v>
      </c>
      <c r="N71" s="144" t="str">
        <f t="shared" si="15"/>
        <v>42</v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>08006</v>
      </c>
      <c r="B72" s="148" t="str">
        <f>IF(C72="","",VLOOKUP('Opći dio'!$C$3,'Opći dio'!$L$6:$U$135,9,FALSE))</f>
        <v>Sveučilišta i veleučilišta u Republici Hrvatskoj</v>
      </c>
      <c r="C72" s="154">
        <v>43</v>
      </c>
      <c r="D72" s="149" t="str">
        <f t="shared" si="12"/>
        <v>Ostali prihodi za posebne namjene</v>
      </c>
      <c r="E72" s="154">
        <v>4241</v>
      </c>
      <c r="F72" s="149" t="str">
        <f t="shared" si="11"/>
        <v>Knjige</v>
      </c>
      <c r="G72" s="201" t="s">
        <v>200</v>
      </c>
      <c r="H72" s="149" t="str">
        <f t="shared" si="13"/>
        <v>REDOVNA DJELATNOST SVEUČILIŠTA U SPLITU (IZ EVIDENCIJSKIH PRIHODA)</v>
      </c>
      <c r="I72" s="198">
        <v>17000</v>
      </c>
      <c r="J72" s="198">
        <v>17000</v>
      </c>
      <c r="K72" s="198">
        <v>17000</v>
      </c>
      <c r="M72" s="144" t="str">
        <f t="shared" si="14"/>
        <v>424</v>
      </c>
      <c r="N72" s="144" t="str">
        <f t="shared" si="15"/>
        <v>42</v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>08006</v>
      </c>
      <c r="B73" s="148" t="str">
        <f>IF(C73="","",VLOOKUP('Opći dio'!$C$3,'Opći dio'!$L$6:$U$135,9,FALSE))</f>
        <v>Sveučilišta i veleučilišta u Republici Hrvatskoj</v>
      </c>
      <c r="C73" s="154">
        <v>43</v>
      </c>
      <c r="D73" s="149" t="str">
        <f t="shared" si="12"/>
        <v>Ostali prihodi za posebne namjene</v>
      </c>
      <c r="E73" s="154">
        <v>4264</v>
      </c>
      <c r="F73" s="149" t="str">
        <f t="shared" si="11"/>
        <v>Ostala nematerijalna proizvedena imovina</v>
      </c>
      <c r="G73" s="201" t="s">
        <v>200</v>
      </c>
      <c r="H73" s="149" t="str">
        <f t="shared" si="13"/>
        <v>REDOVNA DJELATNOST SVEUČILIŠTA U SPLITU (IZ EVIDENCIJSKIH PRIHODA)</v>
      </c>
      <c r="I73" s="198">
        <v>32000</v>
      </c>
      <c r="J73" s="198">
        <v>32000</v>
      </c>
      <c r="K73" s="198">
        <v>32000</v>
      </c>
      <c r="M73" s="144" t="str">
        <f t="shared" si="14"/>
        <v>426</v>
      </c>
      <c r="N73" s="144" t="str">
        <f t="shared" si="15"/>
        <v>42</v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>08006</v>
      </c>
      <c r="B74" s="148" t="str">
        <f>IF(C74="","",VLOOKUP('Opći dio'!$C$3,'Opći dio'!$L$6:$U$135,9,FALSE))</f>
        <v>Sveučilišta i veleučilišta u Republici Hrvatskoj</v>
      </c>
      <c r="C74" s="154">
        <v>43</v>
      </c>
      <c r="D74" s="149" t="str">
        <f t="shared" si="12"/>
        <v>Ostali prihodi za posebne namjene</v>
      </c>
      <c r="E74" s="154">
        <v>4511</v>
      </c>
      <c r="F74" s="149" t="str">
        <f t="shared" si="11"/>
        <v>Dodatna ulaganja na građevinskim objektima</v>
      </c>
      <c r="G74" s="201" t="s">
        <v>200</v>
      </c>
      <c r="H74" s="149" t="str">
        <f t="shared" si="13"/>
        <v>REDOVNA DJELATNOST SVEUČILIŠTA U SPLITU (IZ EVIDENCIJSKIH PRIHODA)</v>
      </c>
      <c r="I74" s="198">
        <v>80000</v>
      </c>
      <c r="J74" s="198">
        <v>80000</v>
      </c>
      <c r="K74" s="198">
        <v>80000</v>
      </c>
      <c r="M74" s="144" t="str">
        <f t="shared" si="14"/>
        <v>451</v>
      </c>
      <c r="N74" s="144" t="str">
        <f t="shared" si="15"/>
        <v>45</v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>08006</v>
      </c>
      <c r="B75" s="148" t="str">
        <f>IF(C75="","",VLOOKUP('Opći dio'!$C$3,'Opći dio'!$L$6:$U$135,9,FALSE))</f>
        <v>Sveučilišta i veleučilišta u Republici Hrvatskoj</v>
      </c>
      <c r="C75" s="154">
        <v>52</v>
      </c>
      <c r="D75" s="149" t="str">
        <f t="shared" si="12"/>
        <v>Ostale pomoći</v>
      </c>
      <c r="E75" s="154">
        <v>3111</v>
      </c>
      <c r="F75" s="149" t="str">
        <f t="shared" si="11"/>
        <v>Plaće za redovan rad</v>
      </c>
      <c r="G75" s="201" t="s">
        <v>200</v>
      </c>
      <c r="H75" s="149" t="str">
        <f t="shared" si="13"/>
        <v>REDOVNA DJELATNOST SVEUČILIŠTA U SPLITU (IZ EVIDENCIJSKIH PRIHODA)</v>
      </c>
      <c r="I75" s="198">
        <v>263367</v>
      </c>
      <c r="J75" s="198">
        <v>221219</v>
      </c>
      <c r="K75" s="198">
        <v>49897</v>
      </c>
      <c r="M75" s="144" t="str">
        <f t="shared" si="14"/>
        <v>311</v>
      </c>
      <c r="N75" s="144" t="str">
        <f t="shared" si="15"/>
        <v>31</v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>08006</v>
      </c>
      <c r="B76" s="148" t="str">
        <f>IF(C76="","",VLOOKUP('Opći dio'!$C$3,'Opći dio'!$L$6:$U$135,9,FALSE))</f>
        <v>Sveučilišta i veleučilišta u Republici Hrvatskoj</v>
      </c>
      <c r="C76" s="154">
        <v>52</v>
      </c>
      <c r="D76" s="149" t="str">
        <f t="shared" si="12"/>
        <v>Ostale pomoći</v>
      </c>
      <c r="E76" s="154">
        <v>3132</v>
      </c>
      <c r="F76" s="149" t="str">
        <f t="shared" si="11"/>
        <v>Doprinosi za obvezno zdravstveno osiguranje</v>
      </c>
      <c r="G76" s="201" t="s">
        <v>200</v>
      </c>
      <c r="H76" s="149" t="str">
        <f t="shared" si="13"/>
        <v>REDOVNA DJELATNOST SVEUČILIŠTA U SPLITU (IZ EVIDENCIJSKIH PRIHODA)</v>
      </c>
      <c r="I76" s="198">
        <v>43455</v>
      </c>
      <c r="J76" s="198">
        <v>36501</v>
      </c>
      <c r="K76" s="198">
        <v>8233</v>
      </c>
      <c r="M76" s="144" t="str">
        <f t="shared" si="14"/>
        <v>313</v>
      </c>
      <c r="N76" s="144" t="str">
        <f t="shared" si="15"/>
        <v>31</v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>08006</v>
      </c>
      <c r="B77" s="148" t="str">
        <f>IF(C77="","",VLOOKUP('Opći dio'!$C$3,'Opći dio'!$L$6:$U$135,9,FALSE))</f>
        <v>Sveučilišta i veleučilišta u Republici Hrvatskoj</v>
      </c>
      <c r="C77" s="154">
        <v>52</v>
      </c>
      <c r="D77" s="149" t="str">
        <f t="shared" si="12"/>
        <v>Ostale pomoći</v>
      </c>
      <c r="E77" s="154">
        <v>3211</v>
      </c>
      <c r="F77" s="149" t="str">
        <f t="shared" si="11"/>
        <v>Službena putovanja</v>
      </c>
      <c r="G77" s="201" t="s">
        <v>200</v>
      </c>
      <c r="H77" s="149" t="str">
        <f t="shared" si="13"/>
        <v>REDOVNA DJELATNOST SVEUČILIŠTA U SPLITU (IZ EVIDENCIJSKIH PRIHODA)</v>
      </c>
      <c r="I77" s="198">
        <v>1980520</v>
      </c>
      <c r="J77" s="198">
        <v>2213231</v>
      </c>
      <c r="K77" s="198">
        <v>2521243</v>
      </c>
      <c r="M77" s="144" t="str">
        <f t="shared" si="14"/>
        <v>321</v>
      </c>
      <c r="N77" s="144" t="str">
        <f t="shared" si="15"/>
        <v>32</v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>08006</v>
      </c>
      <c r="B78" s="148" t="str">
        <f>IF(C78="","",VLOOKUP('Opći dio'!$C$3,'Opći dio'!$L$6:$U$135,9,FALSE))</f>
        <v>Sveučilišta i veleučilišta u Republici Hrvatskoj</v>
      </c>
      <c r="C78" s="154">
        <v>52</v>
      </c>
      <c r="D78" s="149" t="str">
        <f t="shared" si="12"/>
        <v>Ostale pomoći</v>
      </c>
      <c r="E78" s="154">
        <v>3241</v>
      </c>
      <c r="F78" s="149" t="str">
        <f t="shared" si="11"/>
        <v>Naknade troškova osobama izvan radnog odnosa</v>
      </c>
      <c r="G78" s="201" t="s">
        <v>200</v>
      </c>
      <c r="H78" s="149" t="str">
        <f t="shared" si="13"/>
        <v>REDOVNA DJELATNOST SVEUČILIŠTA U SPLITU (IZ EVIDENCIJSKIH PRIHODA)</v>
      </c>
      <c r="I78" s="198">
        <v>60000</v>
      </c>
      <c r="J78" s="198">
        <v>60000</v>
      </c>
      <c r="K78" s="198">
        <v>60000</v>
      </c>
      <c r="M78" s="144" t="str">
        <f t="shared" si="14"/>
        <v>324</v>
      </c>
      <c r="N78" s="144" t="str">
        <f t="shared" si="15"/>
        <v>32</v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>08006</v>
      </c>
      <c r="B79" s="148" t="str">
        <f>IF(C79="","",VLOOKUP('Opći dio'!$C$3,'Opći dio'!$L$6:$U$135,9,FALSE))</f>
        <v>Sveučilišta i veleučilišta u Republici Hrvatskoj</v>
      </c>
      <c r="C79" s="154">
        <v>52</v>
      </c>
      <c r="D79" s="149" t="str">
        <f t="shared" si="12"/>
        <v>Ostale pomoći</v>
      </c>
      <c r="E79" s="154">
        <v>3293</v>
      </c>
      <c r="F79" s="149" t="str">
        <f t="shared" si="11"/>
        <v>Reprezentacija</v>
      </c>
      <c r="G79" s="201" t="s">
        <v>200</v>
      </c>
      <c r="H79" s="149" t="str">
        <f t="shared" si="13"/>
        <v>REDOVNA DJELATNOST SVEUČILIŠTA U SPLITU (IZ EVIDENCIJSKIH PRIHODA)</v>
      </c>
      <c r="I79" s="198">
        <v>126400</v>
      </c>
      <c r="J79" s="198">
        <v>0</v>
      </c>
      <c r="K79" s="198">
        <v>134000</v>
      </c>
      <c r="M79" s="144" t="str">
        <f t="shared" si="14"/>
        <v>329</v>
      </c>
      <c r="N79" s="144" t="str">
        <f t="shared" si="15"/>
        <v>32</v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>08006</v>
      </c>
      <c r="B80" s="148" t="str">
        <f>IF(C80="","",VLOOKUP('Opći dio'!$C$3,'Opći dio'!$L$6:$U$135,9,FALSE))</f>
        <v>Sveučilišta i veleučilišta u Republici Hrvatskoj</v>
      </c>
      <c r="C80" s="154">
        <v>52</v>
      </c>
      <c r="D80" s="149" t="str">
        <f t="shared" si="12"/>
        <v>Ostale pomoći</v>
      </c>
      <c r="E80" s="154">
        <v>3691</v>
      </c>
      <c r="F80" s="149" t="str">
        <f t="shared" si="11"/>
        <v>Tekući prijenosi između proračunskih korisnika istog proraču</v>
      </c>
      <c r="G80" s="201" t="s">
        <v>200</v>
      </c>
      <c r="H80" s="149" t="str">
        <f t="shared" si="13"/>
        <v>REDOVNA DJELATNOST SVEUČILIŠTA U SPLITU (IZ EVIDENCIJSKIH PRIHODA)</v>
      </c>
      <c r="I80" s="198">
        <v>1170865</v>
      </c>
      <c r="J80" s="198">
        <v>681516</v>
      </c>
      <c r="K80" s="198">
        <v>770524</v>
      </c>
      <c r="M80" s="144" t="str">
        <f t="shared" si="14"/>
        <v>369</v>
      </c>
      <c r="N80" s="144" t="str">
        <f t="shared" si="15"/>
        <v>36</v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>08006</v>
      </c>
      <c r="B81" s="148" t="str">
        <f>IF(C81="","",VLOOKUP('Opći dio'!$C$3,'Opći dio'!$L$6:$U$135,9,FALSE))</f>
        <v>Sveučilišta i veleučilišta u Republici Hrvatskoj</v>
      </c>
      <c r="C81" s="154">
        <v>52</v>
      </c>
      <c r="D81" s="149" t="str">
        <f t="shared" si="12"/>
        <v>Ostale pomoći</v>
      </c>
      <c r="E81" s="154">
        <v>4221</v>
      </c>
      <c r="F81" s="149" t="str">
        <f t="shared" si="11"/>
        <v>Uredska oprema i namještaj</v>
      </c>
      <c r="G81" s="201" t="s">
        <v>200</v>
      </c>
      <c r="H81" s="149" t="str">
        <f t="shared" si="13"/>
        <v>REDOVNA DJELATNOST SVEUČILIŠTA U SPLITU (IZ EVIDENCIJSKIH PRIHODA)</v>
      </c>
      <c r="I81" s="198">
        <v>230000</v>
      </c>
      <c r="J81" s="198">
        <v>0</v>
      </c>
      <c r="K81" s="198">
        <v>0</v>
      </c>
      <c r="M81" s="144" t="str">
        <f t="shared" si="14"/>
        <v>422</v>
      </c>
      <c r="N81" s="144" t="str">
        <f t="shared" si="15"/>
        <v>42</v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str">
        <f>IF(C82="","",VLOOKUP('Opći dio'!$C$3,'Opći dio'!$L$6:$U$135,10,FALSE))</f>
        <v>08006</v>
      </c>
      <c r="B82" s="148" t="str">
        <f>IF(C82="","",VLOOKUP('Opći dio'!$C$3,'Opći dio'!$L$6:$U$135,9,FALSE))</f>
        <v>Sveučilišta i veleučilišta u Republici Hrvatskoj</v>
      </c>
      <c r="C82" s="154">
        <v>61</v>
      </c>
      <c r="D82" s="149" t="str">
        <f t="shared" si="12"/>
        <v>Donacije</v>
      </c>
      <c r="E82" s="154">
        <v>3233</v>
      </c>
      <c r="F82" s="149" t="str">
        <f t="shared" si="11"/>
        <v>Usluge promidžbe i informiranja</v>
      </c>
      <c r="G82" s="201" t="s">
        <v>200</v>
      </c>
      <c r="H82" s="149" t="str">
        <f t="shared" si="13"/>
        <v>REDOVNA DJELATNOST SVEUČILIŠTA U SPLITU (IZ EVIDENCIJSKIH PRIHODA)</v>
      </c>
      <c r="I82" s="198">
        <v>40000</v>
      </c>
      <c r="J82" s="198">
        <v>40000</v>
      </c>
      <c r="K82" s="198">
        <v>40000</v>
      </c>
      <c r="M82" s="144" t="str">
        <f t="shared" si="14"/>
        <v>323</v>
      </c>
      <c r="N82" s="144" t="str">
        <f t="shared" si="15"/>
        <v>32</v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>08006</v>
      </c>
      <c r="B83" s="148" t="str">
        <f>IF(C83="","",VLOOKUP('Opći dio'!$C$3,'Opći dio'!$L$6:$U$135,9,FALSE))</f>
        <v>Sveučilišta i veleučilišta u Republici Hrvatskoj</v>
      </c>
      <c r="C83" s="154">
        <v>61</v>
      </c>
      <c r="D83" s="149" t="str">
        <f t="shared" si="12"/>
        <v>Donacije</v>
      </c>
      <c r="E83" s="154">
        <v>3293</v>
      </c>
      <c r="F83" s="149" t="str">
        <f t="shared" si="11"/>
        <v>Reprezentacija</v>
      </c>
      <c r="G83" s="201" t="s">
        <v>200</v>
      </c>
      <c r="H83" s="149" t="str">
        <f t="shared" si="13"/>
        <v>REDOVNA DJELATNOST SVEUČILIŠTA U SPLITU (IZ EVIDENCIJSKIH PRIHODA)</v>
      </c>
      <c r="I83" s="198">
        <v>40000</v>
      </c>
      <c r="J83" s="198">
        <v>40000</v>
      </c>
      <c r="K83" s="198">
        <v>40000</v>
      </c>
      <c r="M83" s="144" t="str">
        <f t="shared" si="14"/>
        <v>329</v>
      </c>
      <c r="N83" s="144" t="str">
        <f t="shared" si="15"/>
        <v>32</v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>08006</v>
      </c>
      <c r="B84" s="148" t="str">
        <f>IF(C84="","",VLOOKUP('Opći dio'!$C$3,'Opći dio'!$L$6:$U$135,9,FALSE))</f>
        <v>Sveučilišta i veleučilišta u Republici Hrvatskoj</v>
      </c>
      <c r="C84" s="154">
        <v>71</v>
      </c>
      <c r="D84" s="149" t="str">
        <f t="shared" si="12"/>
        <v>Prihodi od nefin. imovine i nadoknade štete s osnova osig.</v>
      </c>
      <c r="E84" s="154">
        <v>4222</v>
      </c>
      <c r="F84" s="149" t="str">
        <f t="shared" si="11"/>
        <v>Komunikacijska oprema</v>
      </c>
      <c r="G84" s="201" t="s">
        <v>200</v>
      </c>
      <c r="H84" s="149" t="str">
        <f t="shared" si="13"/>
        <v>REDOVNA DJELATNOST SVEUČILIŠTA U SPLITU (IZ EVIDENCIJSKIH PRIHODA)</v>
      </c>
      <c r="I84" s="198">
        <v>7300</v>
      </c>
      <c r="J84" s="198">
        <v>7300</v>
      </c>
      <c r="K84" s="198">
        <v>7300</v>
      </c>
      <c r="M84" s="144" t="str">
        <f t="shared" si="14"/>
        <v>422</v>
      </c>
      <c r="N84" s="144" t="str">
        <f t="shared" si="15"/>
        <v>42</v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>08006</v>
      </c>
      <c r="B85" s="148" t="str">
        <f>IF(C85="","",VLOOKUP('Opći dio'!$C$3,'Opći dio'!$L$6:$U$135,9,FALSE))</f>
        <v>Sveučilišta i veleučilišta u Republici Hrvatskoj</v>
      </c>
      <c r="C85" s="154">
        <v>31</v>
      </c>
      <c r="D85" s="149" t="str">
        <f t="shared" si="12"/>
        <v>Vlastiti prihodi</v>
      </c>
      <c r="E85" s="154">
        <v>3111</v>
      </c>
      <c r="F85" s="149" t="str">
        <f t="shared" si="11"/>
        <v>Plaće za redovan rad</v>
      </c>
      <c r="G85" s="201" t="s">
        <v>200</v>
      </c>
      <c r="H85" s="149" t="str">
        <f t="shared" si="13"/>
        <v>REDOVNA DJELATNOST SVEUČILIŠTA U SPLITU (IZ EVIDENCIJSKIH PRIHODA)</v>
      </c>
      <c r="I85" s="198">
        <v>752425</v>
      </c>
      <c r="J85" s="198">
        <v>426245</v>
      </c>
      <c r="K85" s="198">
        <v>426245</v>
      </c>
      <c r="M85" s="144" t="str">
        <f t="shared" si="14"/>
        <v>311</v>
      </c>
      <c r="N85" s="144" t="str">
        <f t="shared" si="15"/>
        <v>31</v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>08006</v>
      </c>
      <c r="B86" s="148" t="str">
        <f>IF(C86="","",VLOOKUP('Opći dio'!$C$3,'Opći dio'!$L$6:$U$135,9,FALSE))</f>
        <v>Sveučilišta i veleučilišta u Republici Hrvatskoj</v>
      </c>
      <c r="C86" s="154">
        <v>31</v>
      </c>
      <c r="D86" s="149" t="str">
        <f t="shared" si="12"/>
        <v>Vlastiti prihodi</v>
      </c>
      <c r="E86" s="154">
        <v>3112</v>
      </c>
      <c r="F86" s="149" t="str">
        <f t="shared" si="11"/>
        <v>Plaće u naravi</v>
      </c>
      <c r="G86" s="201" t="s">
        <v>200</v>
      </c>
      <c r="H86" s="149" t="str">
        <f t="shared" si="13"/>
        <v>REDOVNA DJELATNOST SVEUČILIŠTA U SPLITU (IZ EVIDENCIJSKIH PRIHODA)</v>
      </c>
      <c r="I86" s="198">
        <v>75000</v>
      </c>
      <c r="J86" s="198">
        <v>75000</v>
      </c>
      <c r="K86" s="198">
        <v>75000</v>
      </c>
      <c r="M86" s="144" t="str">
        <f t="shared" si="14"/>
        <v>311</v>
      </c>
      <c r="N86" s="144" t="str">
        <f t="shared" si="15"/>
        <v>31</v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>08006</v>
      </c>
      <c r="B87" s="148" t="str">
        <f>IF(C87="","",VLOOKUP('Opći dio'!$C$3,'Opći dio'!$L$6:$U$135,9,FALSE))</f>
        <v>Sveučilišta i veleučilišta u Republici Hrvatskoj</v>
      </c>
      <c r="C87" s="154">
        <v>31</v>
      </c>
      <c r="D87" s="149" t="str">
        <f t="shared" si="12"/>
        <v>Vlastiti prihodi</v>
      </c>
      <c r="E87" s="154">
        <v>3113</v>
      </c>
      <c r="F87" s="149" t="str">
        <f t="shared" si="11"/>
        <v>Plaće za prekovremeni rad</v>
      </c>
      <c r="G87" s="201" t="s">
        <v>200</v>
      </c>
      <c r="H87" s="149" t="str">
        <f t="shared" si="13"/>
        <v>REDOVNA DJELATNOST SVEUČILIŠTA U SPLITU (IZ EVIDENCIJSKIH PRIHODA)</v>
      </c>
      <c r="I87" s="198">
        <v>230000</v>
      </c>
      <c r="J87" s="198">
        <v>75494</v>
      </c>
      <c r="K87" s="198">
        <v>75494</v>
      </c>
      <c r="M87" s="144" t="str">
        <f t="shared" si="14"/>
        <v>311</v>
      </c>
      <c r="N87" s="144" t="str">
        <f t="shared" si="15"/>
        <v>31</v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>08006</v>
      </c>
      <c r="B88" s="148" t="str">
        <f>IF(C88="","",VLOOKUP('Opći dio'!$C$3,'Opći dio'!$L$6:$U$135,9,FALSE))</f>
        <v>Sveučilišta i veleučilišta u Republici Hrvatskoj</v>
      </c>
      <c r="C88" s="154">
        <v>31</v>
      </c>
      <c r="D88" s="149" t="str">
        <f t="shared" si="12"/>
        <v>Vlastiti prihodi</v>
      </c>
      <c r="E88" s="154">
        <v>3121</v>
      </c>
      <c r="F88" s="149" t="str">
        <f t="shared" si="11"/>
        <v>Ostali rashodi za zaposlene</v>
      </c>
      <c r="G88" s="201" t="s">
        <v>200</v>
      </c>
      <c r="H88" s="149" t="str">
        <f t="shared" si="13"/>
        <v>REDOVNA DJELATNOST SVEUČILIŠTA U SPLITU (IZ EVIDENCIJSKIH PRIHODA)</v>
      </c>
      <c r="I88" s="198">
        <v>133533</v>
      </c>
      <c r="J88" s="198">
        <v>133533</v>
      </c>
      <c r="K88" s="198">
        <v>133533</v>
      </c>
      <c r="M88" s="144" t="str">
        <f t="shared" si="14"/>
        <v>312</v>
      </c>
      <c r="N88" s="144" t="str">
        <f t="shared" si="15"/>
        <v>31</v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>08006</v>
      </c>
      <c r="B89" s="148" t="str">
        <f>IF(C89="","",VLOOKUP('Opći dio'!$C$3,'Opći dio'!$L$6:$U$135,9,FALSE))</f>
        <v>Sveučilišta i veleučilišta u Republici Hrvatskoj</v>
      </c>
      <c r="C89" s="154">
        <v>31</v>
      </c>
      <c r="D89" s="149" t="str">
        <f t="shared" si="12"/>
        <v>Vlastiti prihodi</v>
      </c>
      <c r="E89" s="154">
        <v>3132</v>
      </c>
      <c r="F89" s="149" t="str">
        <f t="shared" si="11"/>
        <v>Doprinosi za obvezno zdravstveno osiguranje</v>
      </c>
      <c r="G89" s="201" t="s">
        <v>200</v>
      </c>
      <c r="H89" s="149" t="str">
        <f t="shared" si="13"/>
        <v>REDOVNA DJELATNOST SVEUČILIŠTA U SPLITU (IZ EVIDENCIJSKIH PRIHODA)</v>
      </c>
      <c r="I89" s="198">
        <v>133360</v>
      </c>
      <c r="J89" s="198">
        <v>54046</v>
      </c>
      <c r="K89" s="198">
        <v>54046</v>
      </c>
      <c r="M89" s="144" t="str">
        <f t="shared" si="14"/>
        <v>313</v>
      </c>
      <c r="N89" s="144" t="str">
        <f t="shared" si="15"/>
        <v>31</v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>08006</v>
      </c>
      <c r="B90" s="148" t="str">
        <f>IF(C90="","",VLOOKUP('Opći dio'!$C$3,'Opći dio'!$L$6:$U$135,9,FALSE))</f>
        <v>Sveučilišta i veleučilišta u Republici Hrvatskoj</v>
      </c>
      <c r="C90" s="154">
        <v>31</v>
      </c>
      <c r="D90" s="149" t="str">
        <f t="shared" si="12"/>
        <v>Vlastiti prihodi</v>
      </c>
      <c r="E90" s="154">
        <v>3211</v>
      </c>
      <c r="F90" s="149" t="str">
        <f t="shared" si="11"/>
        <v>Službena putovanja</v>
      </c>
      <c r="G90" s="201" t="s">
        <v>200</v>
      </c>
      <c r="H90" s="149" t="str">
        <f t="shared" si="13"/>
        <v>REDOVNA DJELATNOST SVEUČILIŠTA U SPLITU (IZ EVIDENCIJSKIH PRIHODA)</v>
      </c>
      <c r="I90" s="198">
        <v>35517</v>
      </c>
      <c r="J90" s="198">
        <v>35517</v>
      </c>
      <c r="K90" s="198">
        <v>35517</v>
      </c>
      <c r="M90" s="144" t="str">
        <f t="shared" si="14"/>
        <v>321</v>
      </c>
      <c r="N90" s="144" t="str">
        <f t="shared" si="15"/>
        <v>32</v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>08006</v>
      </c>
      <c r="B91" s="148" t="str">
        <f>IF(C91="","",VLOOKUP('Opći dio'!$C$3,'Opći dio'!$L$6:$U$135,9,FALSE))</f>
        <v>Sveučilišta i veleučilišta u Republici Hrvatskoj</v>
      </c>
      <c r="C91" s="154">
        <v>31</v>
      </c>
      <c r="D91" s="149" t="str">
        <f t="shared" si="12"/>
        <v>Vlastiti prihodi</v>
      </c>
      <c r="E91" s="154">
        <v>3212</v>
      </c>
      <c r="F91" s="149" t="str">
        <f t="shared" si="11"/>
        <v>Naknade za prijevoz, za rad na terenu i odvojeni život</v>
      </c>
      <c r="G91" s="201" t="s">
        <v>200</v>
      </c>
      <c r="H91" s="149" t="str">
        <f t="shared" si="13"/>
        <v>REDOVNA DJELATNOST SVEUČILIŠTA U SPLITU (IZ EVIDENCIJSKIH PRIHODA)</v>
      </c>
      <c r="I91" s="198">
        <v>8381</v>
      </c>
      <c r="J91" s="198">
        <v>8381</v>
      </c>
      <c r="K91" s="198">
        <v>8381</v>
      </c>
      <c r="M91" s="144" t="str">
        <f t="shared" si="14"/>
        <v>321</v>
      </c>
      <c r="N91" s="144" t="str">
        <f t="shared" si="15"/>
        <v>32</v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>08006</v>
      </c>
      <c r="B92" s="148" t="str">
        <f>IF(C92="","",VLOOKUP('Opći dio'!$C$3,'Opći dio'!$L$6:$U$135,9,FALSE))</f>
        <v>Sveučilišta i veleučilišta u Republici Hrvatskoj</v>
      </c>
      <c r="C92" s="154">
        <v>31</v>
      </c>
      <c r="D92" s="149" t="str">
        <f t="shared" si="12"/>
        <v>Vlastiti prihodi</v>
      </c>
      <c r="E92" s="154">
        <v>3213</v>
      </c>
      <c r="F92" s="149" t="str">
        <f t="shared" si="11"/>
        <v>Stručno usavršavanje zaposlenika</v>
      </c>
      <c r="G92" s="201" t="s">
        <v>200</v>
      </c>
      <c r="H92" s="149" t="str">
        <f t="shared" si="13"/>
        <v>REDOVNA DJELATNOST SVEUČILIŠTA U SPLITU (IZ EVIDENCIJSKIH PRIHODA)</v>
      </c>
      <c r="I92" s="198">
        <v>61634</v>
      </c>
      <c r="J92" s="198">
        <v>61634</v>
      </c>
      <c r="K92" s="198">
        <v>61634</v>
      </c>
      <c r="M92" s="144" t="str">
        <f t="shared" si="14"/>
        <v>321</v>
      </c>
      <c r="N92" s="144" t="str">
        <f t="shared" si="15"/>
        <v>32</v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>08006</v>
      </c>
      <c r="B93" s="148" t="str">
        <f>IF(C93="","",VLOOKUP('Opći dio'!$C$3,'Opći dio'!$L$6:$U$135,9,FALSE))</f>
        <v>Sveučilišta i veleučilišta u Republici Hrvatskoj</v>
      </c>
      <c r="C93" s="154">
        <v>31</v>
      </c>
      <c r="D93" s="149" t="str">
        <f t="shared" si="12"/>
        <v>Vlastiti prihodi</v>
      </c>
      <c r="E93" s="154">
        <v>3214</v>
      </c>
      <c r="F93" s="149" t="str">
        <f t="shared" si="11"/>
        <v>Ostale naknade troškova zaposlenima</v>
      </c>
      <c r="G93" s="201" t="s">
        <v>200</v>
      </c>
      <c r="H93" s="149" t="str">
        <f t="shared" si="13"/>
        <v>REDOVNA DJELATNOST SVEUČILIŠTA U SPLITU (IZ EVIDENCIJSKIH PRIHODA)</v>
      </c>
      <c r="I93" s="198">
        <v>85000</v>
      </c>
      <c r="J93" s="198">
        <v>85000</v>
      </c>
      <c r="K93" s="198">
        <v>85000</v>
      </c>
      <c r="M93" s="144" t="str">
        <f t="shared" si="14"/>
        <v>321</v>
      </c>
      <c r="N93" s="144" t="str">
        <f t="shared" si="15"/>
        <v>32</v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>08006</v>
      </c>
      <c r="B94" s="148" t="str">
        <f>IF(C94="","",VLOOKUP('Opći dio'!$C$3,'Opći dio'!$L$6:$U$135,9,FALSE))</f>
        <v>Sveučilišta i veleučilišta u Republici Hrvatskoj</v>
      </c>
      <c r="C94" s="154">
        <v>31</v>
      </c>
      <c r="D94" s="149" t="str">
        <f t="shared" si="12"/>
        <v>Vlastiti prihodi</v>
      </c>
      <c r="E94" s="154">
        <v>3221</v>
      </c>
      <c r="F94" s="149" t="str">
        <f t="shared" si="11"/>
        <v>Uredski materijal i ostali materijalni rashodi</v>
      </c>
      <c r="G94" s="201" t="s">
        <v>200</v>
      </c>
      <c r="H94" s="149" t="str">
        <f t="shared" si="13"/>
        <v>REDOVNA DJELATNOST SVEUČILIŠTA U SPLITU (IZ EVIDENCIJSKIH PRIHODA)</v>
      </c>
      <c r="I94" s="198">
        <v>123425</v>
      </c>
      <c r="J94" s="198">
        <v>123425</v>
      </c>
      <c r="K94" s="198">
        <v>123425</v>
      </c>
      <c r="M94" s="144" t="str">
        <f t="shared" si="14"/>
        <v>322</v>
      </c>
      <c r="N94" s="144" t="str">
        <f t="shared" si="15"/>
        <v>32</v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>08006</v>
      </c>
      <c r="B95" s="148" t="str">
        <f>IF(C95="","",VLOOKUP('Opći dio'!$C$3,'Opći dio'!$L$6:$U$135,9,FALSE))</f>
        <v>Sveučilišta i veleučilišta u Republici Hrvatskoj</v>
      </c>
      <c r="C95" s="154">
        <v>31</v>
      </c>
      <c r="D95" s="149" t="str">
        <f t="shared" si="12"/>
        <v>Vlastiti prihodi</v>
      </c>
      <c r="E95" s="154">
        <v>3223</v>
      </c>
      <c r="F95" s="149" t="str">
        <f t="shared" si="11"/>
        <v>Energija</v>
      </c>
      <c r="G95" s="201" t="s">
        <v>200</v>
      </c>
      <c r="H95" s="149" t="str">
        <f t="shared" si="13"/>
        <v>REDOVNA DJELATNOST SVEUČILIŠTA U SPLITU (IZ EVIDENCIJSKIH PRIHODA)</v>
      </c>
      <c r="I95" s="198">
        <v>85000</v>
      </c>
      <c r="J95" s="198">
        <v>85000</v>
      </c>
      <c r="K95" s="198">
        <v>85000</v>
      </c>
      <c r="M95" s="144" t="str">
        <f t="shared" si="14"/>
        <v>322</v>
      </c>
      <c r="N95" s="144" t="str">
        <f t="shared" si="15"/>
        <v>32</v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>08006</v>
      </c>
      <c r="B96" s="148" t="str">
        <f>IF(C96="","",VLOOKUP('Opći dio'!$C$3,'Opći dio'!$L$6:$U$135,9,FALSE))</f>
        <v>Sveučilišta i veleučilišta u Republici Hrvatskoj</v>
      </c>
      <c r="C96" s="154">
        <v>31</v>
      </c>
      <c r="D96" s="149" t="str">
        <f t="shared" si="12"/>
        <v>Vlastiti prihodi</v>
      </c>
      <c r="E96" s="154">
        <v>3224</v>
      </c>
      <c r="F96" s="149" t="str">
        <f t="shared" si="11"/>
        <v>Materijal i dijelovi za tekuće i investicijsko održavanje</v>
      </c>
      <c r="G96" s="201" t="s">
        <v>200</v>
      </c>
      <c r="H96" s="149" t="str">
        <f t="shared" si="13"/>
        <v>REDOVNA DJELATNOST SVEUČILIŠTA U SPLITU (IZ EVIDENCIJSKIH PRIHODA)</v>
      </c>
      <c r="I96" s="198">
        <v>30000</v>
      </c>
      <c r="J96" s="198">
        <v>30000</v>
      </c>
      <c r="K96" s="198">
        <v>30000</v>
      </c>
      <c r="M96" s="144" t="str">
        <f t="shared" si="14"/>
        <v>322</v>
      </c>
      <c r="N96" s="144" t="str">
        <f t="shared" si="15"/>
        <v>32</v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>08006</v>
      </c>
      <c r="B97" s="148" t="str">
        <f>IF(C97="","",VLOOKUP('Opći dio'!$C$3,'Opći dio'!$L$6:$U$135,9,FALSE))</f>
        <v>Sveučilišta i veleučilišta u Republici Hrvatskoj</v>
      </c>
      <c r="C97" s="154">
        <v>31</v>
      </c>
      <c r="D97" s="149" t="str">
        <f t="shared" si="12"/>
        <v>Vlastiti prihodi</v>
      </c>
      <c r="E97" s="154">
        <v>3225</v>
      </c>
      <c r="F97" s="149" t="str">
        <f t="shared" si="11"/>
        <v>Sitni inventar i auto gume</v>
      </c>
      <c r="G97" s="201" t="s">
        <v>200</v>
      </c>
      <c r="H97" s="149" t="str">
        <f t="shared" si="13"/>
        <v>REDOVNA DJELATNOST SVEUČILIŠTA U SPLITU (IZ EVIDENCIJSKIH PRIHODA)</v>
      </c>
      <c r="I97" s="198">
        <v>6000</v>
      </c>
      <c r="J97" s="198">
        <v>6000</v>
      </c>
      <c r="K97" s="198">
        <v>6000</v>
      </c>
      <c r="M97" s="144" t="str">
        <f t="shared" si="14"/>
        <v>322</v>
      </c>
      <c r="N97" s="144" t="str">
        <f t="shared" si="15"/>
        <v>32</v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>08006</v>
      </c>
      <c r="B98" s="148" t="str">
        <f>IF(C98="","",VLOOKUP('Opći dio'!$C$3,'Opći dio'!$L$6:$U$135,9,FALSE))</f>
        <v>Sveučilišta i veleučilišta u Republici Hrvatskoj</v>
      </c>
      <c r="C98" s="154">
        <v>31</v>
      </c>
      <c r="D98" s="149" t="str">
        <f t="shared" si="12"/>
        <v>Vlastiti prihodi</v>
      </c>
      <c r="E98" s="154">
        <v>3227</v>
      </c>
      <c r="F98" s="149" t="str">
        <f t="shared" si="11"/>
        <v>Službena, radna i zaštitna odjeća i obuća</v>
      </c>
      <c r="G98" s="201" t="s">
        <v>200</v>
      </c>
      <c r="H98" s="149" t="str">
        <f t="shared" si="13"/>
        <v>REDOVNA DJELATNOST SVEUČILIŠTA U SPLITU (IZ EVIDENCIJSKIH PRIHODA)</v>
      </c>
      <c r="I98" s="198">
        <v>4500</v>
      </c>
      <c r="J98" s="198">
        <v>4500</v>
      </c>
      <c r="K98" s="198">
        <v>4500</v>
      </c>
      <c r="M98" s="144" t="str">
        <f t="shared" si="14"/>
        <v>322</v>
      </c>
      <c r="N98" s="144" t="str">
        <f t="shared" si="15"/>
        <v>32</v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>08006</v>
      </c>
      <c r="B99" s="148" t="str">
        <f>IF(C99="","",VLOOKUP('Opći dio'!$C$3,'Opći dio'!$L$6:$U$135,9,FALSE))</f>
        <v>Sveučilišta i veleučilišta u Republici Hrvatskoj</v>
      </c>
      <c r="C99" s="154">
        <v>31</v>
      </c>
      <c r="D99" s="149" t="str">
        <f t="shared" si="12"/>
        <v>Vlastiti prihodi</v>
      </c>
      <c r="E99" s="154">
        <v>3231</v>
      </c>
      <c r="F99" s="149" t="str">
        <f t="shared" si="11"/>
        <v>Usluge telefona, pošte i prijevoza</v>
      </c>
      <c r="G99" s="201" t="s">
        <v>200</v>
      </c>
      <c r="H99" s="149" t="str">
        <f t="shared" si="13"/>
        <v>REDOVNA DJELATNOST SVEUČILIŠTA U SPLITU (IZ EVIDENCIJSKIH PRIHODA)</v>
      </c>
      <c r="I99" s="198">
        <v>66500</v>
      </c>
      <c r="J99" s="198">
        <v>66500</v>
      </c>
      <c r="K99" s="198">
        <v>66500</v>
      </c>
      <c r="M99" s="144" t="str">
        <f t="shared" si="14"/>
        <v>323</v>
      </c>
      <c r="N99" s="144" t="str">
        <f t="shared" si="15"/>
        <v>32</v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>08006</v>
      </c>
      <c r="B100" s="148" t="str">
        <f>IF(C100="","",VLOOKUP('Opći dio'!$C$3,'Opći dio'!$L$6:$U$135,9,FALSE))</f>
        <v>Sveučilišta i veleučilišta u Republici Hrvatskoj</v>
      </c>
      <c r="C100" s="154">
        <v>31</v>
      </c>
      <c r="D100" s="149" t="str">
        <f t="shared" si="12"/>
        <v>Vlastiti prihodi</v>
      </c>
      <c r="E100" s="154">
        <v>3232</v>
      </c>
      <c r="F100" s="149" t="str">
        <f t="shared" si="11"/>
        <v>Usluge tekućeg i investicijskog održavanja</v>
      </c>
      <c r="G100" s="201" t="s">
        <v>200</v>
      </c>
      <c r="H100" s="149" t="str">
        <f t="shared" si="13"/>
        <v>REDOVNA DJELATNOST SVEUČILIŠTA U SPLITU (IZ EVIDENCIJSKIH PRIHODA)</v>
      </c>
      <c r="I100" s="198">
        <v>435944</v>
      </c>
      <c r="J100" s="198">
        <v>35944</v>
      </c>
      <c r="K100" s="198">
        <v>35944</v>
      </c>
      <c r="M100" s="144" t="str">
        <f t="shared" si="14"/>
        <v>323</v>
      </c>
      <c r="N100" s="144" t="str">
        <f t="shared" si="15"/>
        <v>32</v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>08006</v>
      </c>
      <c r="B101" s="148" t="str">
        <f>IF(C101="","",VLOOKUP('Opći dio'!$C$3,'Opći dio'!$L$6:$U$135,9,FALSE))</f>
        <v>Sveučilišta i veleučilišta u Republici Hrvatskoj</v>
      </c>
      <c r="C101" s="154">
        <v>31</v>
      </c>
      <c r="D101" s="149" t="str">
        <f t="shared" si="12"/>
        <v>Vlastiti prihodi</v>
      </c>
      <c r="E101" s="154">
        <v>3233</v>
      </c>
      <c r="F101" s="149" t="str">
        <f t="shared" si="11"/>
        <v>Usluge promidžbe i informiranja</v>
      </c>
      <c r="G101" s="201" t="s">
        <v>200</v>
      </c>
      <c r="H101" s="149" t="str">
        <f t="shared" si="13"/>
        <v>REDOVNA DJELATNOST SVEUČILIŠTA U SPLITU (IZ EVIDENCIJSKIH PRIHODA)</v>
      </c>
      <c r="I101" s="198">
        <v>100000</v>
      </c>
      <c r="J101" s="198">
        <v>100000</v>
      </c>
      <c r="K101" s="198">
        <v>100000</v>
      </c>
      <c r="M101" s="144" t="str">
        <f t="shared" si="14"/>
        <v>323</v>
      </c>
      <c r="N101" s="144" t="str">
        <f t="shared" si="15"/>
        <v>32</v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>08006</v>
      </c>
      <c r="B102" s="148" t="str">
        <f>IF(C102="","",VLOOKUP('Opći dio'!$C$3,'Opći dio'!$L$6:$U$135,9,FALSE))</f>
        <v>Sveučilišta i veleučilišta u Republici Hrvatskoj</v>
      </c>
      <c r="C102" s="154">
        <v>31</v>
      </c>
      <c r="D102" s="149" t="str">
        <f t="shared" si="12"/>
        <v>Vlastiti prihodi</v>
      </c>
      <c r="E102" s="154">
        <v>3234</v>
      </c>
      <c r="F102" s="149" t="str">
        <f t="shared" si="11"/>
        <v>Komunalne usluge</v>
      </c>
      <c r="G102" s="201" t="s">
        <v>200</v>
      </c>
      <c r="H102" s="149" t="str">
        <f t="shared" si="13"/>
        <v>REDOVNA DJELATNOST SVEUČILIŠTA U SPLITU (IZ EVIDENCIJSKIH PRIHODA)</v>
      </c>
      <c r="I102" s="198">
        <v>53000</v>
      </c>
      <c r="J102" s="198">
        <v>53000</v>
      </c>
      <c r="K102" s="198">
        <v>53000</v>
      </c>
      <c r="M102" s="144" t="str">
        <f t="shared" si="14"/>
        <v>323</v>
      </c>
      <c r="N102" s="144" t="str">
        <f t="shared" si="15"/>
        <v>32</v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>08006</v>
      </c>
      <c r="B103" s="148" t="str">
        <f>IF(C103="","",VLOOKUP('Opći dio'!$C$3,'Opći dio'!$L$6:$U$135,9,FALSE))</f>
        <v>Sveučilišta i veleučilišta u Republici Hrvatskoj</v>
      </c>
      <c r="C103" s="154">
        <v>31</v>
      </c>
      <c r="D103" s="149" t="str">
        <f t="shared" si="12"/>
        <v>Vlastiti prihodi</v>
      </c>
      <c r="E103" s="154">
        <v>3235</v>
      </c>
      <c r="F103" s="149" t="str">
        <f t="shared" si="11"/>
        <v>Zakupnine i najamnine</v>
      </c>
      <c r="G103" s="201" t="s">
        <v>200</v>
      </c>
      <c r="H103" s="149" t="str">
        <f t="shared" si="13"/>
        <v>REDOVNA DJELATNOST SVEUČILIŠTA U SPLITU (IZ EVIDENCIJSKIH PRIHODA)</v>
      </c>
      <c r="I103" s="198">
        <v>40000</v>
      </c>
      <c r="J103" s="198">
        <v>40000</v>
      </c>
      <c r="K103" s="198">
        <v>40000</v>
      </c>
      <c r="M103" s="144" t="str">
        <f t="shared" si="14"/>
        <v>323</v>
      </c>
      <c r="N103" s="144" t="str">
        <f t="shared" si="15"/>
        <v>32</v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>08006</v>
      </c>
      <c r="B104" s="148" t="str">
        <f>IF(C104="","",VLOOKUP('Opći dio'!$C$3,'Opći dio'!$L$6:$U$135,9,FALSE))</f>
        <v>Sveučilišta i veleučilišta u Republici Hrvatskoj</v>
      </c>
      <c r="C104" s="154">
        <v>31</v>
      </c>
      <c r="D104" s="149" t="str">
        <f t="shared" si="12"/>
        <v>Vlastiti prihodi</v>
      </c>
      <c r="E104" s="154">
        <v>3237</v>
      </c>
      <c r="F104" s="149" t="str">
        <f t="shared" si="11"/>
        <v>Intelektualne i osobne usluge</v>
      </c>
      <c r="G104" s="201" t="s">
        <v>200</v>
      </c>
      <c r="H104" s="149" t="str">
        <f t="shared" si="13"/>
        <v>REDOVNA DJELATNOST SVEUČILIŠTA U SPLITU (IZ EVIDENCIJSKIH PRIHODA)</v>
      </c>
      <c r="I104" s="198">
        <v>101000</v>
      </c>
      <c r="J104" s="198">
        <v>101000</v>
      </c>
      <c r="K104" s="198">
        <v>101000</v>
      </c>
      <c r="M104" s="144" t="str">
        <f t="shared" si="14"/>
        <v>323</v>
      </c>
      <c r="N104" s="144" t="str">
        <f t="shared" si="15"/>
        <v>32</v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>08006</v>
      </c>
      <c r="B105" s="148" t="str">
        <f>IF(C105="","",VLOOKUP('Opći dio'!$C$3,'Opći dio'!$L$6:$U$135,9,FALSE))</f>
        <v>Sveučilišta i veleučilišta u Republici Hrvatskoj</v>
      </c>
      <c r="C105" s="154">
        <v>31</v>
      </c>
      <c r="D105" s="149" t="str">
        <f t="shared" si="12"/>
        <v>Vlastiti prihodi</v>
      </c>
      <c r="E105" s="154">
        <v>3238</v>
      </c>
      <c r="F105" s="149" t="str">
        <f t="shared" si="11"/>
        <v>Računalne usluge</v>
      </c>
      <c r="G105" s="201" t="s">
        <v>200</v>
      </c>
      <c r="H105" s="149" t="str">
        <f t="shared" si="13"/>
        <v>REDOVNA DJELATNOST SVEUČILIŠTA U SPLITU (IZ EVIDENCIJSKIH PRIHODA)</v>
      </c>
      <c r="I105" s="198">
        <v>57000</v>
      </c>
      <c r="J105" s="198">
        <v>57000</v>
      </c>
      <c r="K105" s="198">
        <v>57000</v>
      </c>
      <c r="M105" s="144" t="str">
        <f t="shared" si="14"/>
        <v>323</v>
      </c>
      <c r="N105" s="144" t="str">
        <f t="shared" si="15"/>
        <v>32</v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>08006</v>
      </c>
      <c r="B106" s="148" t="str">
        <f>IF(C106="","",VLOOKUP('Opći dio'!$C$3,'Opći dio'!$L$6:$U$135,9,FALSE))</f>
        <v>Sveučilišta i veleučilišta u Republici Hrvatskoj</v>
      </c>
      <c r="C106" s="154">
        <v>31</v>
      </c>
      <c r="D106" s="149" t="str">
        <f t="shared" si="12"/>
        <v>Vlastiti prihodi</v>
      </c>
      <c r="E106" s="154">
        <v>3241</v>
      </c>
      <c r="F106" s="149" t="str">
        <f t="shared" si="11"/>
        <v>Naknade troškova osobama izvan radnog odnosa</v>
      </c>
      <c r="G106" s="201" t="s">
        <v>200</v>
      </c>
      <c r="H106" s="149" t="str">
        <f t="shared" si="13"/>
        <v>REDOVNA DJELATNOST SVEUČILIŠTA U SPLITU (IZ EVIDENCIJSKIH PRIHODA)</v>
      </c>
      <c r="I106" s="198">
        <v>32142</v>
      </c>
      <c r="J106" s="198">
        <v>32142</v>
      </c>
      <c r="K106" s="198">
        <v>32142</v>
      </c>
      <c r="M106" s="144" t="str">
        <f t="shared" si="14"/>
        <v>324</v>
      </c>
      <c r="N106" s="144" t="str">
        <f t="shared" si="15"/>
        <v>32</v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>08006</v>
      </c>
      <c r="B107" s="148" t="str">
        <f>IF(C107="","",VLOOKUP('Opći dio'!$C$3,'Opći dio'!$L$6:$U$135,9,FALSE))</f>
        <v>Sveučilišta i veleučilišta u Republici Hrvatskoj</v>
      </c>
      <c r="C107" s="154">
        <v>31</v>
      </c>
      <c r="D107" s="149" t="str">
        <f t="shared" si="12"/>
        <v>Vlastiti prihodi</v>
      </c>
      <c r="E107" s="154">
        <v>3292</v>
      </c>
      <c r="F107" s="149" t="str">
        <f t="shared" si="11"/>
        <v>Premije osiguranja</v>
      </c>
      <c r="G107" s="201" t="s">
        <v>200</v>
      </c>
      <c r="H107" s="149" t="str">
        <f t="shared" si="13"/>
        <v>REDOVNA DJELATNOST SVEUČILIŠTA U SPLITU (IZ EVIDENCIJSKIH PRIHODA)</v>
      </c>
      <c r="I107" s="198">
        <v>10000</v>
      </c>
      <c r="J107" s="198">
        <v>10000</v>
      </c>
      <c r="K107" s="198">
        <v>10000</v>
      </c>
      <c r="M107" s="144" t="str">
        <f t="shared" si="14"/>
        <v>329</v>
      </c>
      <c r="N107" s="144" t="str">
        <f t="shared" si="15"/>
        <v>32</v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>08006</v>
      </c>
      <c r="B108" s="148" t="str">
        <f>IF(C108="","",VLOOKUP('Opći dio'!$C$3,'Opći dio'!$L$6:$U$135,9,FALSE))</f>
        <v>Sveučilišta i veleučilišta u Republici Hrvatskoj</v>
      </c>
      <c r="C108" s="154">
        <v>31</v>
      </c>
      <c r="D108" s="149" t="str">
        <f t="shared" si="12"/>
        <v>Vlastiti prihodi</v>
      </c>
      <c r="E108" s="154">
        <v>3293</v>
      </c>
      <c r="F108" s="149" t="str">
        <f t="shared" si="11"/>
        <v>Reprezentacija</v>
      </c>
      <c r="G108" s="201" t="s">
        <v>200</v>
      </c>
      <c r="H108" s="149" t="str">
        <f t="shared" si="13"/>
        <v>REDOVNA DJELATNOST SVEUČILIŠTA U SPLITU (IZ EVIDENCIJSKIH PRIHODA)</v>
      </c>
      <c r="I108" s="198">
        <v>106100</v>
      </c>
      <c r="J108" s="198">
        <v>66100</v>
      </c>
      <c r="K108" s="198">
        <v>66100</v>
      </c>
      <c r="M108" s="144" t="str">
        <f t="shared" si="14"/>
        <v>329</v>
      </c>
      <c r="N108" s="144" t="str">
        <f t="shared" si="15"/>
        <v>32</v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>08006</v>
      </c>
      <c r="B109" s="148" t="str">
        <f>IF(C109="","",VLOOKUP('Opći dio'!$C$3,'Opći dio'!$L$6:$U$135,9,FALSE))</f>
        <v>Sveučilišta i veleučilišta u Republici Hrvatskoj</v>
      </c>
      <c r="C109" s="154">
        <v>31</v>
      </c>
      <c r="D109" s="149" t="str">
        <f t="shared" si="12"/>
        <v>Vlastiti prihodi</v>
      </c>
      <c r="E109" s="154">
        <v>3299</v>
      </c>
      <c r="F109" s="149" t="str">
        <f t="shared" si="11"/>
        <v>Ostali nespomenuti rashodi poslovanja</v>
      </c>
      <c r="G109" s="201" t="s">
        <v>200</v>
      </c>
      <c r="H109" s="149" t="str">
        <f t="shared" si="13"/>
        <v>REDOVNA DJELATNOST SVEUČILIŠTA U SPLITU (IZ EVIDENCIJSKIH PRIHODA)</v>
      </c>
      <c r="I109" s="198">
        <v>109962</v>
      </c>
      <c r="J109" s="198">
        <v>109962</v>
      </c>
      <c r="K109" s="198">
        <v>109962</v>
      </c>
      <c r="M109" s="144" t="str">
        <f t="shared" si="14"/>
        <v>329</v>
      </c>
      <c r="N109" s="144" t="str">
        <f t="shared" si="15"/>
        <v>32</v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>08006</v>
      </c>
      <c r="B110" s="148" t="str">
        <f>IF(C110="","",VLOOKUP('Opći dio'!$C$3,'Opći dio'!$L$6:$U$135,9,FALSE))</f>
        <v>Sveučilišta i veleučilišta u Republici Hrvatskoj</v>
      </c>
      <c r="C110" s="154">
        <v>31</v>
      </c>
      <c r="D110" s="149" t="str">
        <f t="shared" si="12"/>
        <v>Vlastiti prihodi</v>
      </c>
      <c r="E110" s="154">
        <v>3431</v>
      </c>
      <c r="F110" s="149" t="str">
        <f t="shared" si="11"/>
        <v>Bankarske usluge i usluge platnog prometa</v>
      </c>
      <c r="G110" s="201" t="s">
        <v>200</v>
      </c>
      <c r="H110" s="149" t="str">
        <f t="shared" si="13"/>
        <v>REDOVNA DJELATNOST SVEUČILIŠTA U SPLITU (IZ EVIDENCIJSKIH PRIHODA)</v>
      </c>
      <c r="I110" s="198">
        <v>7920</v>
      </c>
      <c r="J110" s="198">
        <v>7920</v>
      </c>
      <c r="K110" s="198">
        <v>7920</v>
      </c>
      <c r="M110" s="144" t="str">
        <f t="shared" si="14"/>
        <v>343</v>
      </c>
      <c r="N110" s="144" t="str">
        <f t="shared" si="15"/>
        <v>34</v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>08006</v>
      </c>
      <c r="B111" s="148" t="str">
        <f>IF(C111="","",VLOOKUP('Opći dio'!$C$3,'Opći dio'!$L$6:$U$135,9,FALSE))</f>
        <v>Sveučilišta i veleučilišta u Republici Hrvatskoj</v>
      </c>
      <c r="C111" s="154">
        <v>31</v>
      </c>
      <c r="D111" s="149" t="str">
        <f t="shared" si="12"/>
        <v>Vlastiti prihodi</v>
      </c>
      <c r="E111" s="154">
        <v>3432</v>
      </c>
      <c r="F111" s="149" t="str">
        <f t="shared" si="11"/>
        <v>Negativne tečajne razlike i razlike zbog primjene valutne kl</v>
      </c>
      <c r="G111" s="201" t="s">
        <v>200</v>
      </c>
      <c r="H111" s="149" t="str">
        <f t="shared" si="13"/>
        <v>REDOVNA DJELATNOST SVEUČILIŠTA U SPLITU (IZ EVIDENCIJSKIH PRIHODA)</v>
      </c>
      <c r="I111" s="198">
        <v>2000</v>
      </c>
      <c r="J111" s="198">
        <v>2000</v>
      </c>
      <c r="K111" s="198">
        <v>2000</v>
      </c>
      <c r="M111" s="144" t="str">
        <f t="shared" si="14"/>
        <v>343</v>
      </c>
      <c r="N111" s="144" t="str">
        <f t="shared" si="15"/>
        <v>34</v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>08006</v>
      </c>
      <c r="B112" s="148" t="str">
        <f>IF(C112="","",VLOOKUP('Opći dio'!$C$3,'Opći dio'!$L$6:$U$135,9,FALSE))</f>
        <v>Sveučilišta i veleučilišta u Republici Hrvatskoj</v>
      </c>
      <c r="C112" s="154">
        <v>31</v>
      </c>
      <c r="D112" s="149" t="str">
        <f t="shared" si="12"/>
        <v>Vlastiti prihodi</v>
      </c>
      <c r="E112" s="154">
        <v>3433</v>
      </c>
      <c r="F112" s="149" t="str">
        <f t="shared" si="11"/>
        <v>Zatezne kamate</v>
      </c>
      <c r="G112" s="201" t="s">
        <v>200</v>
      </c>
      <c r="H112" s="149" t="str">
        <f t="shared" si="13"/>
        <v>REDOVNA DJELATNOST SVEUČILIŠTA U SPLITU (IZ EVIDENCIJSKIH PRIHODA)</v>
      </c>
      <c r="I112" s="198">
        <v>1000</v>
      </c>
      <c r="J112" s="198">
        <v>1000</v>
      </c>
      <c r="K112" s="198">
        <v>1000</v>
      </c>
      <c r="M112" s="144" t="str">
        <f t="shared" si="14"/>
        <v>343</v>
      </c>
      <c r="N112" s="144" t="str">
        <f t="shared" si="15"/>
        <v>34</v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>08006</v>
      </c>
      <c r="B113" s="148" t="str">
        <f>IF(C113="","",VLOOKUP('Opći dio'!$C$3,'Opći dio'!$L$6:$U$135,9,FALSE))</f>
        <v>Sveučilišta i veleučilišta u Republici Hrvatskoj</v>
      </c>
      <c r="C113" s="154">
        <v>31</v>
      </c>
      <c r="D113" s="149" t="str">
        <f t="shared" si="12"/>
        <v>Vlastiti prihodi</v>
      </c>
      <c r="E113" s="154">
        <v>3721</v>
      </c>
      <c r="F113" s="149" t="str">
        <f t="shared" si="11"/>
        <v>Naknade građanima i kućanstvima u novcu</v>
      </c>
      <c r="G113" s="201" t="s">
        <v>200</v>
      </c>
      <c r="H113" s="149" t="str">
        <f t="shared" si="13"/>
        <v>REDOVNA DJELATNOST SVEUČILIŠTA U SPLITU (IZ EVIDENCIJSKIH PRIHODA)</v>
      </c>
      <c r="I113" s="198">
        <v>46150</v>
      </c>
      <c r="J113" s="198">
        <v>46150</v>
      </c>
      <c r="K113" s="198">
        <v>46150</v>
      </c>
      <c r="M113" s="144" t="str">
        <f t="shared" si="14"/>
        <v>372</v>
      </c>
      <c r="N113" s="144" t="str">
        <f t="shared" si="15"/>
        <v>37</v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>08006</v>
      </c>
      <c r="B114" s="148" t="str">
        <f>IF(C114="","",VLOOKUP('Opći dio'!$C$3,'Opći dio'!$L$6:$U$135,9,FALSE))</f>
        <v>Sveučilišta i veleučilišta u Republici Hrvatskoj</v>
      </c>
      <c r="C114" s="154">
        <v>31</v>
      </c>
      <c r="D114" s="149" t="str">
        <f t="shared" si="12"/>
        <v>Vlastiti prihodi</v>
      </c>
      <c r="E114" s="154">
        <v>3811</v>
      </c>
      <c r="F114" s="149" t="str">
        <f t="shared" si="11"/>
        <v>Tekuće donacije u novcu</v>
      </c>
      <c r="G114" s="201" t="s">
        <v>200</v>
      </c>
      <c r="H114" s="149" t="str">
        <f t="shared" si="13"/>
        <v>REDOVNA DJELATNOST SVEUČILIŠTA U SPLITU (IZ EVIDENCIJSKIH PRIHODA)</v>
      </c>
      <c r="I114" s="198">
        <v>20000</v>
      </c>
      <c r="J114" s="198">
        <v>20000</v>
      </c>
      <c r="K114" s="198">
        <v>20000</v>
      </c>
      <c r="M114" s="144" t="str">
        <f t="shared" si="14"/>
        <v>381</v>
      </c>
      <c r="N114" s="144" t="str">
        <f t="shared" si="15"/>
        <v>38</v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>08006</v>
      </c>
      <c r="B115" s="148" t="str">
        <f>IF(C115="","",VLOOKUP('Opći dio'!$C$3,'Opći dio'!$L$6:$U$135,9,FALSE))</f>
        <v>Sveučilišta i veleučilišta u Republici Hrvatskoj</v>
      </c>
      <c r="C115" s="154">
        <v>31</v>
      </c>
      <c r="D115" s="149" t="str">
        <f t="shared" si="12"/>
        <v>Vlastiti prihodi</v>
      </c>
      <c r="E115" s="154">
        <v>4221</v>
      </c>
      <c r="F115" s="149" t="str">
        <f t="shared" si="11"/>
        <v>Uredska oprema i namještaj</v>
      </c>
      <c r="G115" s="201" t="s">
        <v>200</v>
      </c>
      <c r="H115" s="149" t="str">
        <f t="shared" si="13"/>
        <v>REDOVNA DJELATNOST SVEUČILIŠTA U SPLITU (IZ EVIDENCIJSKIH PRIHODA)</v>
      </c>
      <c r="I115" s="198">
        <v>40000</v>
      </c>
      <c r="J115" s="198">
        <v>40000</v>
      </c>
      <c r="K115" s="198">
        <v>40000</v>
      </c>
      <c r="M115" s="144" t="str">
        <f t="shared" si="14"/>
        <v>422</v>
      </c>
      <c r="N115" s="144" t="str">
        <f t="shared" si="15"/>
        <v>42</v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>08006</v>
      </c>
      <c r="B116" s="148" t="str">
        <f>IF(C116="","",VLOOKUP('Opći dio'!$C$3,'Opći dio'!$L$6:$U$135,9,FALSE))</f>
        <v>Sveučilišta i veleučilišta u Republici Hrvatskoj</v>
      </c>
      <c r="C116" s="154">
        <v>31</v>
      </c>
      <c r="D116" s="149" t="str">
        <f t="shared" si="12"/>
        <v>Vlastiti prihodi</v>
      </c>
      <c r="E116" s="154">
        <v>4222</v>
      </c>
      <c r="F116" s="149" t="str">
        <f t="shared" si="11"/>
        <v>Komunikacijska oprema</v>
      </c>
      <c r="G116" s="201" t="s">
        <v>200</v>
      </c>
      <c r="H116" s="149" t="str">
        <f t="shared" si="13"/>
        <v>REDOVNA DJELATNOST SVEUČILIŠTA U SPLITU (IZ EVIDENCIJSKIH PRIHODA)</v>
      </c>
      <c r="I116" s="198">
        <v>2700</v>
      </c>
      <c r="J116" s="198">
        <v>2700</v>
      </c>
      <c r="K116" s="198">
        <v>2700</v>
      </c>
      <c r="M116" s="144" t="str">
        <f t="shared" si="14"/>
        <v>422</v>
      </c>
      <c r="N116" s="144" t="str">
        <f t="shared" si="15"/>
        <v>42</v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>08006</v>
      </c>
      <c r="B117" s="148" t="str">
        <f>IF(C117="","",VLOOKUP('Opći dio'!$C$3,'Opći dio'!$L$6:$U$135,9,FALSE))</f>
        <v>Sveučilišta i veleučilišta u Republici Hrvatskoj</v>
      </c>
      <c r="C117" s="154">
        <v>31</v>
      </c>
      <c r="D117" s="149" t="str">
        <f t="shared" si="12"/>
        <v>Vlastiti prihodi</v>
      </c>
      <c r="E117" s="154">
        <v>4223</v>
      </c>
      <c r="F117" s="149" t="str">
        <f t="shared" si="11"/>
        <v>Oprema za održavanje i zaštitu</v>
      </c>
      <c r="G117" s="201" t="s">
        <v>200</v>
      </c>
      <c r="H117" s="149" t="str">
        <f t="shared" si="13"/>
        <v>REDOVNA DJELATNOST SVEUČILIŠTA U SPLITU (IZ EVIDENCIJSKIH PRIHODA)</v>
      </c>
      <c r="I117" s="198">
        <v>5000</v>
      </c>
      <c r="J117" s="198">
        <v>5000</v>
      </c>
      <c r="K117" s="198">
        <v>5000</v>
      </c>
      <c r="M117" s="144" t="str">
        <f t="shared" si="14"/>
        <v>422</v>
      </c>
      <c r="N117" s="144" t="str">
        <f t="shared" si="15"/>
        <v>42</v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>08006</v>
      </c>
      <c r="B118" s="148" t="str">
        <f>IF(C118="","",VLOOKUP('Opći dio'!$C$3,'Opći dio'!$L$6:$U$135,9,FALSE))</f>
        <v>Sveučilišta i veleučilišta u Republici Hrvatskoj</v>
      </c>
      <c r="C118" s="154">
        <v>31</v>
      </c>
      <c r="D118" s="149" t="str">
        <f t="shared" si="12"/>
        <v>Vlastiti prihodi</v>
      </c>
      <c r="E118" s="154">
        <v>4241</v>
      </c>
      <c r="F118" s="149" t="str">
        <f t="shared" si="11"/>
        <v>Knjige</v>
      </c>
      <c r="G118" s="201" t="s">
        <v>200</v>
      </c>
      <c r="H118" s="149" t="str">
        <f t="shared" si="13"/>
        <v>REDOVNA DJELATNOST SVEUČILIŠTA U SPLITU (IZ EVIDENCIJSKIH PRIHODA)</v>
      </c>
      <c r="I118" s="198">
        <v>2000</v>
      </c>
      <c r="J118" s="198">
        <v>2000</v>
      </c>
      <c r="K118" s="198">
        <v>2000</v>
      </c>
      <c r="M118" s="144" t="str">
        <f t="shared" si="14"/>
        <v>424</v>
      </c>
      <c r="N118" s="144" t="str">
        <f t="shared" si="15"/>
        <v>42</v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>08006</v>
      </c>
      <c r="B119" s="148" t="str">
        <f>IF(C119="","",VLOOKUP('Opći dio'!$C$3,'Opći dio'!$L$6:$U$135,9,FALSE))</f>
        <v>Sveučilišta i veleučilišta u Republici Hrvatskoj</v>
      </c>
      <c r="C119" s="154">
        <v>31</v>
      </c>
      <c r="D119" s="149" t="str">
        <f t="shared" si="12"/>
        <v>Vlastiti prihodi</v>
      </c>
      <c r="E119" s="154">
        <v>4264</v>
      </c>
      <c r="F119" s="149" t="str">
        <f t="shared" si="11"/>
        <v>Ostala nematerijalna proizvedena imovina</v>
      </c>
      <c r="G119" s="201" t="s">
        <v>200</v>
      </c>
      <c r="H119" s="149" t="str">
        <f t="shared" si="13"/>
        <v>REDOVNA DJELATNOST SVEUČILIŠTA U SPLITU (IZ EVIDENCIJSKIH PRIHODA)</v>
      </c>
      <c r="I119" s="198">
        <v>98000</v>
      </c>
      <c r="J119" s="198">
        <v>98000</v>
      </c>
      <c r="K119" s="198">
        <v>98000</v>
      </c>
      <c r="M119" s="144" t="str">
        <f t="shared" si="14"/>
        <v>426</v>
      </c>
      <c r="N119" s="144" t="str">
        <f t="shared" si="15"/>
        <v>42</v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/>
      </c>
      <c r="B120" s="148" t="str">
        <f>IF(C120="","",VLOOKUP('Opći dio'!$C$3,'Opći dio'!$L$6:$U$135,9,FALSE))</f>
        <v/>
      </c>
      <c r="C120" s="154"/>
      <c r="D120" s="149" t="str">
        <f t="shared" si="12"/>
        <v/>
      </c>
      <c r="E120" s="154"/>
      <c r="F120" s="149" t="str">
        <f t="shared" si="11"/>
        <v/>
      </c>
      <c r="G120" s="201"/>
      <c r="H120" s="149" t="str">
        <f t="shared" si="13"/>
        <v/>
      </c>
      <c r="I120" s="198"/>
      <c r="J120" s="198"/>
      <c r="K120" s="198"/>
      <c r="M120" s="144" t="str">
        <f t="shared" si="14"/>
        <v/>
      </c>
      <c r="N120" s="144" t="str">
        <f t="shared" si="15"/>
        <v/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/>
      </c>
      <c r="B121" s="148" t="str">
        <f>IF(C121="","",VLOOKUP('Opći dio'!$C$3,'Opći dio'!$L$6:$U$135,9,FALSE))</f>
        <v/>
      </c>
      <c r="C121" s="154"/>
      <c r="D121" s="149" t="str">
        <f t="shared" si="12"/>
        <v/>
      </c>
      <c r="E121" s="154"/>
      <c r="F121" s="149" t="str">
        <f t="shared" si="11"/>
        <v/>
      </c>
      <c r="G121" s="201"/>
      <c r="H121" s="149" t="str">
        <f t="shared" si="13"/>
        <v/>
      </c>
      <c r="I121" s="198"/>
      <c r="J121" s="198"/>
      <c r="K121" s="198"/>
      <c r="M121" s="144" t="str">
        <f t="shared" si="14"/>
        <v/>
      </c>
      <c r="N121" s="144" t="str">
        <f t="shared" si="15"/>
        <v/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/>
      </c>
      <c r="B122" s="148" t="str">
        <f>IF(C122="","",VLOOKUP('Opći dio'!$C$3,'Opći dio'!$L$6:$U$135,9,FALSE))</f>
        <v/>
      </c>
      <c r="C122" s="154"/>
      <c r="D122" s="149" t="str">
        <f t="shared" si="12"/>
        <v/>
      </c>
      <c r="E122" s="154"/>
      <c r="F122" s="149" t="str">
        <f t="shared" si="11"/>
        <v/>
      </c>
      <c r="G122" s="201"/>
      <c r="H122" s="149" t="str">
        <f t="shared" si="13"/>
        <v/>
      </c>
      <c r="I122" s="198"/>
      <c r="J122" s="198"/>
      <c r="K122" s="198"/>
      <c r="M122" s="144" t="str">
        <f t="shared" si="14"/>
        <v/>
      </c>
      <c r="N122" s="144" t="str">
        <f t="shared" si="15"/>
        <v/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/>
      </c>
      <c r="B123" s="148" t="str">
        <f>IF(C123="","",VLOOKUP('Opći dio'!$C$3,'Opći dio'!$L$6:$U$135,9,FALSE))</f>
        <v/>
      </c>
      <c r="C123" s="154"/>
      <c r="D123" s="149" t="str">
        <f t="shared" si="12"/>
        <v/>
      </c>
      <c r="E123" s="154"/>
      <c r="F123" s="149" t="str">
        <f t="shared" si="11"/>
        <v/>
      </c>
      <c r="G123" s="201"/>
      <c r="H123" s="149" t="str">
        <f t="shared" si="13"/>
        <v/>
      </c>
      <c r="I123" s="198"/>
      <c r="J123" s="198"/>
      <c r="K123" s="198"/>
      <c r="M123" s="144" t="str">
        <f t="shared" si="14"/>
        <v/>
      </c>
      <c r="N123" s="144" t="str">
        <f t="shared" si="15"/>
        <v/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/>
      </c>
      <c r="B124" s="148" t="str">
        <f>IF(C124="","",VLOOKUP('Opći dio'!$C$3,'Opći dio'!$L$6:$U$135,9,FALSE))</f>
        <v/>
      </c>
      <c r="C124" s="154"/>
      <c r="D124" s="149" t="str">
        <f t="shared" si="12"/>
        <v/>
      </c>
      <c r="E124" s="154"/>
      <c r="F124" s="149" t="str">
        <f t="shared" si="11"/>
        <v/>
      </c>
      <c r="G124" s="201"/>
      <c r="H124" s="149" t="str">
        <f t="shared" si="13"/>
        <v/>
      </c>
      <c r="I124" s="198"/>
      <c r="J124" s="198"/>
      <c r="K124" s="198"/>
      <c r="M124" s="144" t="str">
        <f t="shared" si="14"/>
        <v/>
      </c>
      <c r="N124" s="144" t="str">
        <f t="shared" si="15"/>
        <v/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/>
      </c>
      <c r="B125" s="148" t="str">
        <f>IF(C125="","",VLOOKUP('Opći dio'!$C$3,'Opći dio'!$L$6:$U$135,9,FALSE))</f>
        <v/>
      </c>
      <c r="C125" s="154"/>
      <c r="D125" s="149" t="str">
        <f t="shared" si="12"/>
        <v/>
      </c>
      <c r="E125" s="154"/>
      <c r="F125" s="149" t="str">
        <f t="shared" si="11"/>
        <v/>
      </c>
      <c r="G125" s="201"/>
      <c r="H125" s="149" t="str">
        <f t="shared" si="13"/>
        <v/>
      </c>
      <c r="I125" s="198"/>
      <c r="J125" s="198"/>
      <c r="K125" s="198"/>
      <c r="M125" s="144" t="str">
        <f t="shared" si="14"/>
        <v/>
      </c>
      <c r="N125" s="144" t="str">
        <f t="shared" si="15"/>
        <v/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/>
      </c>
      <c r="B126" s="148" t="str">
        <f>IF(C126="","",VLOOKUP('Opći dio'!$C$3,'Opći dio'!$L$6:$U$135,9,FALSE))</f>
        <v/>
      </c>
      <c r="C126" s="154"/>
      <c r="D126" s="149" t="str">
        <f t="shared" si="12"/>
        <v/>
      </c>
      <c r="E126" s="154"/>
      <c r="F126" s="149" t="str">
        <f t="shared" si="11"/>
        <v/>
      </c>
      <c r="G126" s="201"/>
      <c r="H126" s="149" t="str">
        <f t="shared" si="13"/>
        <v/>
      </c>
      <c r="I126" s="198"/>
      <c r="J126" s="198"/>
      <c r="K126" s="198"/>
      <c r="M126" s="144" t="str">
        <f t="shared" si="14"/>
        <v/>
      </c>
      <c r="N126" s="144" t="str">
        <f t="shared" si="15"/>
        <v/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/>
      </c>
      <c r="B127" s="148" t="str">
        <f>IF(C127="","",VLOOKUP('Opći dio'!$C$3,'Opći dio'!$L$6:$U$135,9,FALSE))</f>
        <v/>
      </c>
      <c r="C127" s="154"/>
      <c r="D127" s="149" t="str">
        <f t="shared" si="12"/>
        <v/>
      </c>
      <c r="E127" s="154"/>
      <c r="F127" s="149" t="str">
        <f t="shared" si="11"/>
        <v/>
      </c>
      <c r="G127" s="201"/>
      <c r="H127" s="149" t="str">
        <f t="shared" si="13"/>
        <v/>
      </c>
      <c r="I127" s="198"/>
      <c r="J127" s="198"/>
      <c r="K127" s="198"/>
      <c r="M127" s="144" t="str">
        <f t="shared" si="14"/>
        <v/>
      </c>
      <c r="N127" s="144" t="str">
        <f t="shared" si="15"/>
        <v/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/>
      </c>
      <c r="B128" s="148" t="str">
        <f>IF(C128="","",VLOOKUP('Opći dio'!$C$3,'Opći dio'!$L$6:$U$135,9,FALSE))</f>
        <v/>
      </c>
      <c r="C128" s="154"/>
      <c r="D128" s="149" t="str">
        <f t="shared" si="12"/>
        <v/>
      </c>
      <c r="E128" s="154"/>
      <c r="F128" s="149" t="str">
        <f t="shared" si="11"/>
        <v/>
      </c>
      <c r="G128" s="201"/>
      <c r="H128" s="149" t="str">
        <f t="shared" si="13"/>
        <v/>
      </c>
      <c r="I128" s="198"/>
      <c r="J128" s="198"/>
      <c r="K128" s="198"/>
      <c r="M128" s="144" t="str">
        <f t="shared" si="14"/>
        <v/>
      </c>
      <c r="N128" s="144" t="str">
        <f t="shared" si="15"/>
        <v/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/>
      </c>
      <c r="B129" s="148" t="str">
        <f>IF(C129="","",VLOOKUP('Opći dio'!$C$3,'Opći dio'!$L$6:$U$135,9,FALSE))</f>
        <v/>
      </c>
      <c r="C129" s="154"/>
      <c r="D129" s="149" t="str">
        <f t="shared" si="12"/>
        <v/>
      </c>
      <c r="E129" s="154"/>
      <c r="F129" s="149" t="str">
        <f t="shared" si="11"/>
        <v/>
      </c>
      <c r="G129" s="201"/>
      <c r="H129" s="149" t="str">
        <f t="shared" si="13"/>
        <v/>
      </c>
      <c r="I129" s="198"/>
      <c r="J129" s="198"/>
      <c r="K129" s="198"/>
      <c r="M129" s="144" t="str">
        <f t="shared" si="14"/>
        <v/>
      </c>
      <c r="N129" s="144" t="str">
        <f t="shared" si="15"/>
        <v/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/>
      </c>
      <c r="B130" s="148" t="str">
        <f>IF(C130="","",VLOOKUP('Opći dio'!$C$3,'Opći dio'!$L$6:$U$135,9,FALSE))</f>
        <v/>
      </c>
      <c r="C130" s="154"/>
      <c r="D130" s="149" t="str">
        <f t="shared" si="12"/>
        <v/>
      </c>
      <c r="E130" s="154"/>
      <c r="F130" s="149" t="str">
        <f t="shared" si="11"/>
        <v/>
      </c>
      <c r="G130" s="201"/>
      <c r="H130" s="149" t="str">
        <f t="shared" si="13"/>
        <v/>
      </c>
      <c r="I130" s="198"/>
      <c r="J130" s="198"/>
      <c r="K130" s="198"/>
      <c r="M130" s="144" t="str">
        <f t="shared" si="14"/>
        <v/>
      </c>
      <c r="N130" s="144" t="str">
        <f t="shared" si="15"/>
        <v/>
      </c>
    </row>
    <row r="131" spans="1:22">
      <c r="A131" s="148" t="str">
        <f>IF(C131="","",VLOOKUP('Opći dio'!$C$3,'Opći dio'!$L$6:$U$135,10,FALSE))</f>
        <v/>
      </c>
      <c r="B131" s="148" t="str">
        <f>IF(C131="","",VLOOKUP('Opći dio'!$C$3,'Opći dio'!$L$6:$U$135,9,FALSE))</f>
        <v/>
      </c>
      <c r="C131" s="154"/>
      <c r="D131" s="149" t="str">
        <f t="shared" si="12"/>
        <v/>
      </c>
      <c r="E131" s="154"/>
      <c r="F131" s="149" t="str">
        <f t="shared" ref="F131:F194" si="24">IFERROR(VLOOKUP(E131,$R$5:$T$129,2,FALSE),"")</f>
        <v/>
      </c>
      <c r="G131" s="201"/>
      <c r="H131" s="149" t="str">
        <f t="shared" si="13"/>
        <v/>
      </c>
      <c r="I131" s="198"/>
      <c r="J131" s="198"/>
      <c r="K131" s="198"/>
      <c r="M131" s="144" t="str">
        <f t="shared" si="14"/>
        <v/>
      </c>
      <c r="N131" s="144" t="str">
        <f t="shared" si="15"/>
        <v/>
      </c>
    </row>
    <row r="132" spans="1:22">
      <c r="A132" s="148" t="str">
        <f>IF(C132="","",VLOOKUP('Opći dio'!$C$3,'Opći dio'!$L$6:$U$135,10,FALSE))</f>
        <v/>
      </c>
      <c r="B132" s="148" t="str">
        <f>IF(C132="","",VLOOKUP('Opći dio'!$C$3,'Opći dio'!$L$6:$U$135,9,FALSE))</f>
        <v/>
      </c>
      <c r="C132" s="154"/>
      <c r="D132" s="149" t="str">
        <f t="shared" ref="D132:D195" si="25">IFERROR(VLOOKUP(C132,$O$6:$P$16,2,FALSE),"")</f>
        <v/>
      </c>
      <c r="E132" s="154"/>
      <c r="F132" s="149" t="str">
        <f t="shared" si="24"/>
        <v/>
      </c>
      <c r="G132" s="201"/>
      <c r="H132" s="149" t="str">
        <f t="shared" ref="H132:H195" si="26">IFERROR(VLOOKUP(G132,$X$6:$Y$50,2,FALSE),"")</f>
        <v/>
      </c>
      <c r="I132" s="198"/>
      <c r="J132" s="198"/>
      <c r="K132" s="198"/>
      <c r="M132" s="144" t="str">
        <f t="shared" ref="M132:M195" si="27">LEFT(E132,3)</f>
        <v/>
      </c>
      <c r="N132" s="144" t="str">
        <f t="shared" ref="N132:N195" si="28">LEFT(E132,2)</f>
        <v/>
      </c>
    </row>
    <row r="133" spans="1:22">
      <c r="A133" s="148" t="str">
        <f>IF(C133="","",VLOOKUP('Opći dio'!$C$3,'Opći dio'!$L$6:$U$135,10,FALSE))</f>
        <v/>
      </c>
      <c r="B133" s="148" t="str">
        <f>IF(C133="","",VLOOKUP('Opći dio'!$C$3,'Opći dio'!$L$6:$U$135,9,FALSE))</f>
        <v/>
      </c>
      <c r="C133" s="154"/>
      <c r="D133" s="149" t="str">
        <f t="shared" si="25"/>
        <v/>
      </c>
      <c r="E133" s="154"/>
      <c r="F133" s="149" t="str">
        <f t="shared" si="24"/>
        <v/>
      </c>
      <c r="G133" s="201"/>
      <c r="H133" s="149" t="str">
        <f t="shared" si="26"/>
        <v/>
      </c>
      <c r="I133" s="198"/>
      <c r="J133" s="198"/>
      <c r="K133" s="198"/>
      <c r="M133" s="144" t="str">
        <f t="shared" si="27"/>
        <v/>
      </c>
      <c r="N133" s="144" t="str">
        <f t="shared" si="28"/>
        <v/>
      </c>
    </row>
    <row r="134" spans="1:22">
      <c r="A134" s="148" t="str">
        <f>IF(C134="","",VLOOKUP('Opći dio'!$C$3,'Opći dio'!$L$6:$U$135,10,FALSE))</f>
        <v/>
      </c>
      <c r="B134" s="148" t="str">
        <f>IF(C134="","",VLOOKUP('Opći dio'!$C$3,'Opći dio'!$L$6:$U$135,9,FALSE))</f>
        <v/>
      </c>
      <c r="C134" s="154"/>
      <c r="D134" s="149" t="str">
        <f t="shared" si="25"/>
        <v/>
      </c>
      <c r="E134" s="154"/>
      <c r="F134" s="149" t="str">
        <f t="shared" si="24"/>
        <v/>
      </c>
      <c r="G134" s="201"/>
      <c r="H134" s="149" t="str">
        <f t="shared" si="26"/>
        <v/>
      </c>
      <c r="I134" s="198"/>
      <c r="J134" s="198"/>
      <c r="K134" s="198"/>
      <c r="M134" s="144" t="str">
        <f t="shared" si="27"/>
        <v/>
      </c>
      <c r="N134" s="144" t="str">
        <f t="shared" si="28"/>
        <v/>
      </c>
    </row>
    <row r="135" spans="1:22">
      <c r="A135" s="148" t="str">
        <f>IF(C135="","",VLOOKUP('Opći dio'!$C$3,'Opći dio'!$L$6:$U$135,10,FALSE))</f>
        <v/>
      </c>
      <c r="B135" s="148" t="str">
        <f>IF(C135="","",VLOOKUP('Opći dio'!$C$3,'Opći dio'!$L$6:$U$135,9,FALSE))</f>
        <v/>
      </c>
      <c r="C135" s="154"/>
      <c r="D135" s="149" t="str">
        <f t="shared" si="25"/>
        <v/>
      </c>
      <c r="E135" s="154"/>
      <c r="F135" s="149" t="str">
        <f t="shared" si="24"/>
        <v/>
      </c>
      <c r="G135" s="201"/>
      <c r="H135" s="149" t="str">
        <f t="shared" si="26"/>
        <v/>
      </c>
      <c r="I135" s="198"/>
      <c r="J135" s="198"/>
      <c r="K135" s="198"/>
      <c r="M135" s="144" t="str">
        <f t="shared" si="27"/>
        <v/>
      </c>
      <c r="N135" s="144" t="str">
        <f t="shared" si="28"/>
        <v/>
      </c>
    </row>
    <row r="136" spans="1:22">
      <c r="A136" s="148" t="str">
        <f>IF(C136="","",VLOOKUP('Opći dio'!$C$3,'Opći dio'!$L$6:$U$135,10,FALSE))</f>
        <v/>
      </c>
      <c r="B136" s="148" t="str">
        <f>IF(C136="","",VLOOKUP('Opći dio'!$C$3,'Opći dio'!$L$6:$U$135,9,FALSE))</f>
        <v/>
      </c>
      <c r="C136" s="154"/>
      <c r="D136" s="149" t="str">
        <f t="shared" si="25"/>
        <v/>
      </c>
      <c r="E136" s="154"/>
      <c r="F136" s="149" t="str">
        <f t="shared" si="24"/>
        <v/>
      </c>
      <c r="G136" s="201"/>
      <c r="H136" s="149" t="str">
        <f t="shared" si="26"/>
        <v/>
      </c>
      <c r="I136" s="198"/>
      <c r="J136" s="198"/>
      <c r="K136" s="198"/>
      <c r="M136" s="144" t="str">
        <f t="shared" si="27"/>
        <v/>
      </c>
      <c r="N136" s="144" t="str">
        <f t="shared" si="28"/>
        <v/>
      </c>
    </row>
    <row r="137" spans="1:22">
      <c r="A137" s="148" t="str">
        <f>IF(C137="","",VLOOKUP('Opći dio'!$C$3,'Opći dio'!$L$6:$U$135,10,FALSE))</f>
        <v/>
      </c>
      <c r="B137" s="148" t="str">
        <f>IF(C137="","",VLOOKUP('Opći dio'!$C$3,'Opći dio'!$L$6:$U$135,9,FALSE))</f>
        <v/>
      </c>
      <c r="C137" s="154"/>
      <c r="D137" s="149" t="str">
        <f t="shared" si="25"/>
        <v/>
      </c>
      <c r="E137" s="154"/>
      <c r="F137" s="149" t="str">
        <f t="shared" si="24"/>
        <v/>
      </c>
      <c r="G137" s="201"/>
      <c r="H137" s="149" t="str">
        <f t="shared" si="26"/>
        <v/>
      </c>
      <c r="I137" s="198"/>
      <c r="J137" s="198"/>
      <c r="K137" s="198"/>
      <c r="M137" s="144" t="str">
        <f t="shared" si="27"/>
        <v/>
      </c>
      <c r="N137" s="144" t="str">
        <f t="shared" si="28"/>
        <v/>
      </c>
    </row>
    <row r="138" spans="1:22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25"/>
        <v/>
      </c>
      <c r="E138" s="154"/>
      <c r="F138" s="149" t="str">
        <f t="shared" si="24"/>
        <v/>
      </c>
      <c r="G138" s="201"/>
      <c r="H138" s="149" t="str">
        <f t="shared" si="26"/>
        <v/>
      </c>
      <c r="I138" s="198"/>
      <c r="J138" s="198"/>
      <c r="K138" s="198"/>
      <c r="M138" s="144" t="str">
        <f t="shared" si="27"/>
        <v/>
      </c>
      <c r="N138" s="144" t="str">
        <f t="shared" si="28"/>
        <v/>
      </c>
    </row>
    <row r="139" spans="1:22">
      <c r="A139" s="148" t="str">
        <f>IF(C139="","",VLOOKUP('Opći dio'!$C$3,'Opći dio'!$L$6:$U$135,10,FALSE))</f>
        <v/>
      </c>
      <c r="B139" s="148" t="str">
        <f>IF(C139="","",VLOOKUP('Opći dio'!$C$3,'Opći dio'!$L$6:$U$135,9,FALSE))</f>
        <v/>
      </c>
      <c r="C139" s="154"/>
      <c r="D139" s="149" t="str">
        <f t="shared" si="25"/>
        <v/>
      </c>
      <c r="E139" s="154"/>
      <c r="F139" s="149" t="str">
        <f t="shared" si="24"/>
        <v/>
      </c>
      <c r="G139" s="201"/>
      <c r="H139" s="149" t="str">
        <f t="shared" si="26"/>
        <v/>
      </c>
      <c r="I139" s="198"/>
      <c r="J139" s="198"/>
      <c r="K139" s="198"/>
      <c r="M139" s="144" t="str">
        <f t="shared" si="27"/>
        <v/>
      </c>
      <c r="N139" s="144" t="str">
        <f t="shared" si="28"/>
        <v/>
      </c>
    </row>
    <row r="140" spans="1:22">
      <c r="A140" s="148" t="str">
        <f>IF(C140="","",VLOOKUP('Opći dio'!$C$3,'Opći dio'!$L$6:$U$135,10,FALSE))</f>
        <v/>
      </c>
      <c r="B140" s="148" t="str">
        <f>IF(C140="","",VLOOKUP('Opći dio'!$C$3,'Opći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201"/>
      <c r="H140" s="149" t="str">
        <f t="shared" si="26"/>
        <v/>
      </c>
      <c r="I140" s="198"/>
      <c r="J140" s="198"/>
      <c r="K140" s="198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IF(C141="","",VLOOKUP('Opći dio'!$C$3,'Opći dio'!$L$6:$U$135,10,FALSE))</f>
        <v/>
      </c>
      <c r="B141" s="148" t="str">
        <f>IF(C141="","",VLOOKUP('Opći dio'!$C$3,'Opći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201"/>
      <c r="H141" s="149" t="str">
        <f t="shared" si="26"/>
        <v/>
      </c>
      <c r="I141" s="198"/>
      <c r="J141" s="198"/>
      <c r="K141" s="198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IF(C142="","",VLOOKUP('Opći dio'!$C$3,'Opći dio'!$L$6:$U$135,10,FALSE))</f>
        <v/>
      </c>
      <c r="B142" s="148" t="str">
        <f>IF(C142="","",VLOOKUP('Opći dio'!$C$3,'Opći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201"/>
      <c r="H142" s="149" t="str">
        <f t="shared" si="26"/>
        <v/>
      </c>
      <c r="I142" s="198"/>
      <c r="J142" s="198"/>
      <c r="K142" s="198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201"/>
      <c r="H143" s="149" t="str">
        <f t="shared" si="26"/>
        <v/>
      </c>
      <c r="I143" s="198"/>
      <c r="J143" s="198"/>
      <c r="K143" s="198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201"/>
      <c r="H144" s="149" t="str">
        <f t="shared" si="26"/>
        <v/>
      </c>
      <c r="I144" s="198"/>
      <c r="J144" s="198"/>
      <c r="K144" s="198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IF(C145="","",VLOOKUP('Opći dio'!$C$3,'Opći dio'!$L$6:$U$135,10,FALSE))</f>
        <v/>
      </c>
      <c r="B145" s="148" t="str">
        <f>IF(C145="","",VLOOKUP('Opći dio'!$C$3,'Opći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201"/>
      <c r="H145" s="149" t="str">
        <f t="shared" si="26"/>
        <v/>
      </c>
      <c r="I145" s="198"/>
      <c r="J145" s="198"/>
      <c r="K145" s="198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IF(C146="","",VLOOKUP('Opći dio'!$C$3,'Opći dio'!$L$6:$U$135,10,FALSE))</f>
        <v/>
      </c>
      <c r="B146" s="148" t="str">
        <f>IF(C146="","",VLOOKUP('Opći dio'!$C$3,'Opći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201"/>
      <c r="H146" s="149" t="str">
        <f t="shared" si="26"/>
        <v/>
      </c>
      <c r="I146" s="198"/>
      <c r="J146" s="198"/>
      <c r="K146" s="198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IF(C147="","",VLOOKUP('Opći dio'!$C$3,'Opći dio'!$L$6:$U$135,10,FALSE))</f>
        <v/>
      </c>
      <c r="B147" s="148" t="str">
        <f>IF(C147="","",VLOOKUP('Opći dio'!$C$3,'Opći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201"/>
      <c r="H147" s="149" t="str">
        <f t="shared" si="26"/>
        <v/>
      </c>
      <c r="I147" s="198"/>
      <c r="J147" s="198"/>
      <c r="K147" s="198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IF(C148="","",VLOOKUP('Opći dio'!$C$3,'Opći dio'!$L$6:$U$135,10,FALSE))</f>
        <v/>
      </c>
      <c r="B148" s="148" t="str">
        <f>IF(C148="","",VLOOKUP('Opći dio'!$C$3,'Opći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201"/>
      <c r="H148" s="149" t="str">
        <f t="shared" si="26"/>
        <v/>
      </c>
      <c r="I148" s="198"/>
      <c r="J148" s="198"/>
      <c r="K148" s="198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IF(C149="","",VLOOKUP('Opći dio'!$C$3,'Opći dio'!$L$6:$U$135,10,FALSE))</f>
        <v/>
      </c>
      <c r="B149" s="148" t="str">
        <f>IF(C149="","",VLOOKUP('Opći dio'!$C$3,'Opći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201"/>
      <c r="H149" s="149" t="str">
        <f t="shared" si="26"/>
        <v/>
      </c>
      <c r="I149" s="198"/>
      <c r="J149" s="198"/>
      <c r="K149" s="198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IF(C150="","",VLOOKUP('Opći dio'!$C$3,'Opći dio'!$L$6:$U$135,10,FALSE))</f>
        <v/>
      </c>
      <c r="B150" s="148" t="str">
        <f>IF(C150="","",VLOOKUP('Opći dio'!$C$3,'Opći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201"/>
      <c r="H150" s="149" t="str">
        <f t="shared" si="26"/>
        <v/>
      </c>
      <c r="I150" s="198"/>
      <c r="J150" s="198"/>
      <c r="K150" s="198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IF(C151="","",VLOOKUP('Opći dio'!$C$3,'Opći dio'!$L$6:$U$135,10,FALSE))</f>
        <v/>
      </c>
      <c r="B151" s="148" t="str">
        <f>IF(C151="","",VLOOKUP('Opći dio'!$C$3,'Opći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201"/>
      <c r="H151" s="149" t="str">
        <f t="shared" si="26"/>
        <v/>
      </c>
      <c r="I151" s="198"/>
      <c r="J151" s="198"/>
      <c r="K151" s="198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IF(C152="","",VLOOKUP('Opći dio'!$C$3,'Opći dio'!$L$6:$U$135,10,FALSE))</f>
        <v/>
      </c>
      <c r="B152" s="148" t="str">
        <f>IF(C152="","",VLOOKUP('Opći dio'!$C$3,'Opći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201"/>
      <c r="H152" s="149" t="str">
        <f t="shared" si="26"/>
        <v/>
      </c>
      <c r="I152" s="198"/>
      <c r="J152" s="198"/>
      <c r="K152" s="198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IF(C153="","",VLOOKUP('Opći dio'!$C$3,'Opći dio'!$L$6:$U$135,10,FALSE))</f>
        <v/>
      </c>
      <c r="B153" s="148" t="str">
        <f>IF(C153="","",VLOOKUP('Opći dio'!$C$3,'Opći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201"/>
      <c r="H153" s="149" t="str">
        <f t="shared" si="26"/>
        <v/>
      </c>
      <c r="I153" s="198"/>
      <c r="J153" s="198"/>
      <c r="K153" s="198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IF(C154="","",VLOOKUP('Opći dio'!$C$3,'Opći dio'!$L$6:$U$135,10,FALSE))</f>
        <v/>
      </c>
      <c r="B154" s="148" t="str">
        <f>IF(C154="","",VLOOKUP('Opći dio'!$C$3,'Opći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201"/>
      <c r="H154" s="149" t="str">
        <f t="shared" si="26"/>
        <v/>
      </c>
      <c r="I154" s="198"/>
      <c r="J154" s="198"/>
      <c r="K154" s="198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IF(C155="","",VLOOKUP('Opći dio'!$C$3,'Opći dio'!$L$6:$U$135,10,FALSE))</f>
        <v/>
      </c>
      <c r="B155" s="148" t="str">
        <f>IF(C155="","",VLOOKUP('Opći dio'!$C$3,'Opći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201"/>
      <c r="H155" s="149" t="str">
        <f t="shared" si="26"/>
        <v/>
      </c>
      <c r="I155" s="198"/>
      <c r="J155" s="198"/>
      <c r="K155" s="198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198"/>
      <c r="K156" s="198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198"/>
      <c r="K157" s="198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198"/>
      <c r="K158" s="198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198"/>
      <c r="K159" s="198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198"/>
      <c r="K160" s="198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198"/>
      <c r="K161" s="198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198"/>
      <c r="K162" s="198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198"/>
      <c r="K163" s="198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198"/>
      <c r="K164" s="198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198"/>
      <c r="K165" s="198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198"/>
      <c r="K166" s="198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198"/>
      <c r="K167" s="198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198"/>
      <c r="K168" s="198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198"/>
      <c r="K169" s="198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198"/>
      <c r="K170" s="198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198"/>
      <c r="K171" s="198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198"/>
      <c r="K172" s="198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198"/>
      <c r="K173" s="198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198"/>
      <c r="K174" s="198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198"/>
      <c r="K175" s="198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198"/>
      <c r="K176" s="198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198"/>
      <c r="K177" s="198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198"/>
      <c r="K178" s="198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198"/>
      <c r="K179" s="198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198"/>
      <c r="K180" s="198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198"/>
      <c r="K181" s="198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198"/>
      <c r="K182" s="198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198"/>
      <c r="K183" s="198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198"/>
      <c r="K184" s="198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198"/>
      <c r="K185" s="198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198"/>
      <c r="K186" s="198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198"/>
      <c r="K187" s="198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198"/>
      <c r="K188" s="198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198"/>
      <c r="K189" s="198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198"/>
      <c r="K190" s="198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198"/>
      <c r="K191" s="198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198"/>
      <c r="K192" s="198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198"/>
      <c r="K193" s="198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198"/>
      <c r="K194" s="198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198"/>
      <c r="K195" s="198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198"/>
      <c r="K196" s="198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198"/>
      <c r="K197" s="198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198"/>
      <c r="K198" s="198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198"/>
      <c r="K199" s="198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198"/>
      <c r="K200" s="198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zoomScale="80" zoomScaleNormal="80" workbookViewId="0">
      <pane ySplit="2" topLeftCell="A57" activePane="bottomLeft" state="frozen"/>
      <selection pane="bottomLeft" activeCell="G79" sqref="G79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69" t="s">
        <v>290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3" t="s">
        <v>292</v>
      </c>
      <c r="B3" s="264"/>
      <c r="C3" s="265" t="s">
        <v>51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7406262</v>
      </c>
      <c r="D5" s="3">
        <v>0</v>
      </c>
      <c r="E5" s="3"/>
      <c r="F5" s="3">
        <v>4236036</v>
      </c>
      <c r="G5" s="3">
        <v>3048000</v>
      </c>
      <c r="H5" s="3">
        <v>122226</v>
      </c>
      <c r="I5" s="3"/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44444303</v>
      </c>
      <c r="D6" s="15">
        <f t="shared" ref="D6:P6" si="1">+D26+D33</f>
        <v>29775375</v>
      </c>
      <c r="E6" s="15">
        <f t="shared" si="1"/>
        <v>0</v>
      </c>
      <c r="F6" s="15">
        <f t="shared" si="1"/>
        <v>1510000</v>
      </c>
      <c r="G6" s="15">
        <f t="shared" si="1"/>
        <v>8214185</v>
      </c>
      <c r="H6" s="15">
        <f t="shared" si="1"/>
        <v>664885</v>
      </c>
      <c r="I6" s="15">
        <f t="shared" si="1"/>
        <v>4192558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80000</v>
      </c>
      <c r="N6" s="15">
        <f t="shared" si="1"/>
        <v>0</v>
      </c>
      <c r="O6" s="15">
        <f t="shared" si="1"/>
        <v>7300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-6264945</v>
      </c>
      <c r="D7" s="115"/>
      <c r="E7" s="115"/>
      <c r="F7" s="115">
        <v>-2645843</v>
      </c>
      <c r="G7" s="115">
        <v>-2928000</v>
      </c>
      <c r="H7" s="115">
        <v>-373151</v>
      </c>
      <c r="I7" s="115">
        <v>-317951</v>
      </c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45585620</v>
      </c>
      <c r="D8" s="15">
        <f>+D5+D6+D7</f>
        <v>29775375</v>
      </c>
      <c r="E8" s="15">
        <f t="shared" ref="E8:P8" si="2">+E5+E6+E7</f>
        <v>0</v>
      </c>
      <c r="F8" s="15">
        <f t="shared" si="2"/>
        <v>3100193</v>
      </c>
      <c r="G8" s="15">
        <f t="shared" si="2"/>
        <v>8334185</v>
      </c>
      <c r="H8" s="15">
        <f t="shared" si="2"/>
        <v>413960</v>
      </c>
      <c r="I8" s="15">
        <f t="shared" si="2"/>
        <v>3874607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80000</v>
      </c>
      <c r="N8" s="15">
        <f t="shared" si="2"/>
        <v>0</v>
      </c>
      <c r="O8" s="15">
        <f t="shared" si="2"/>
        <v>7300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45585620</v>
      </c>
      <c r="D9" s="138">
        <f>+'PLAN RASHODA I IZDATAKA'!D3</f>
        <v>29775375</v>
      </c>
      <c r="E9" s="138">
        <f>+'PLAN RASHODA I IZDATAKA'!E3</f>
        <v>0</v>
      </c>
      <c r="F9" s="138">
        <f>+'PLAN RASHODA I IZDATAKA'!F3</f>
        <v>3100193</v>
      </c>
      <c r="G9" s="138">
        <f>+'PLAN RASHODA I IZDATAKA'!G3</f>
        <v>8334185</v>
      </c>
      <c r="H9" s="138">
        <f>+'PLAN RASHODA I IZDATAKA'!H3</f>
        <v>413960</v>
      </c>
      <c r="I9" s="138">
        <f>+'PLAN RASHODA I IZDATAKA'!I3</f>
        <v>3874607</v>
      </c>
      <c r="J9" s="138">
        <f>+'PLAN RASHODA I IZDATAKA'!J3</f>
        <v>0</v>
      </c>
      <c r="K9" s="138">
        <f>+'PLAN RASHODA I IZDATAKA'!K3</f>
        <v>0</v>
      </c>
      <c r="L9" s="138">
        <f>+'PLAN RASHODA I IZDATAKA'!L3</f>
        <v>0</v>
      </c>
      <c r="M9" s="138">
        <f>+'PLAN RASHODA I IZDATAKA'!M3</f>
        <v>80000</v>
      </c>
      <c r="N9" s="138">
        <f>+'PLAN RASHODA I IZDATAKA'!N3</f>
        <v>0</v>
      </c>
      <c r="O9" s="138">
        <f>+'PLAN RASHODA I IZDATAKA'!O3</f>
        <v>7300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664885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664885</v>
      </c>
      <c r="I12" s="204">
        <f>SUMIFS('Plan prihoda za unos u SAP'!$G$3:$G$501,'Plan prihoda za unos u SAP'!$C$3:$C$501,"=52",'Plan prihoda za unos u SAP'!$K$3:$K$501,"=632")</f>
        <v>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0</v>
      </c>
      <c r="L12" s="204">
        <f>SUMIFS('Plan prihoda za unos u SAP'!$G$3:$G$501,'Plan prihoda za unos u SAP'!$C$3:$C$501,"=563",'Plan prihoda za unos u SAP'!$K$3:$K$501,"=632")</f>
        <v>0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4192558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4192558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8214185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8214185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1510000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1510000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80000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80000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29775375</v>
      </c>
      <c r="D23" s="204">
        <f>SUMIFS('Plan prihoda za unos u SAP'!$G$3:$G$501,'Plan prihoda za unos u SAP'!$C$3:$C$501,"=11",'Plan prihoda za unos u SAP'!$K$3:$K$501,"=671")</f>
        <v>29775375</v>
      </c>
      <c r="E23" s="204">
        <f>SUMIFS('Plan prihoda za unos u SAP'!$G$3:$G$501,'Plan prihoda za unos u SAP'!$C$3:$C$501,"=12",'Plan prihoda za unos u SAP'!$K$3:$K$501,"=671")</f>
        <v>0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44437003</v>
      </c>
      <c r="D26" s="4">
        <f t="shared" ref="D26:P26" si="6">SUM(D11:D25)</f>
        <v>29775375</v>
      </c>
      <c r="E26" s="4">
        <f t="shared" si="6"/>
        <v>0</v>
      </c>
      <c r="F26" s="4">
        <f t="shared" si="6"/>
        <v>1510000</v>
      </c>
      <c r="G26" s="4">
        <f t="shared" si="6"/>
        <v>8214185</v>
      </c>
      <c r="H26" s="4">
        <f t="shared" si="6"/>
        <v>664885</v>
      </c>
      <c r="I26" s="4">
        <f t="shared" si="6"/>
        <v>4192558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80000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7300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7300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7300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7300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8" t="s">
        <v>339</v>
      </c>
      <c r="B37" s="268"/>
      <c r="C37" s="72">
        <f>SUM(D37:P37)</f>
        <v>44444303</v>
      </c>
      <c r="D37" s="72">
        <f t="shared" ref="D37:P37" si="9">+D36+D33+D26</f>
        <v>29775375</v>
      </c>
      <c r="E37" s="72">
        <f t="shared" si="9"/>
        <v>0</v>
      </c>
      <c r="F37" s="72">
        <f t="shared" si="9"/>
        <v>1510000</v>
      </c>
      <c r="G37" s="72">
        <f t="shared" si="9"/>
        <v>8214185</v>
      </c>
      <c r="H37" s="72">
        <f t="shared" si="9"/>
        <v>664885</v>
      </c>
      <c r="I37" s="72">
        <f t="shared" si="9"/>
        <v>4192558</v>
      </c>
      <c r="J37" s="72">
        <f t="shared" si="9"/>
        <v>0</v>
      </c>
      <c r="K37" s="72">
        <f t="shared" si="9"/>
        <v>0</v>
      </c>
      <c r="L37" s="72">
        <f t="shared" si="9"/>
        <v>0</v>
      </c>
      <c r="M37" s="72">
        <f t="shared" si="9"/>
        <v>80000</v>
      </c>
      <c r="N37" s="72">
        <f t="shared" si="9"/>
        <v>0</v>
      </c>
      <c r="O37" s="72">
        <f t="shared" si="9"/>
        <v>7300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3" t="s">
        <v>292</v>
      </c>
      <c r="B39" s="264"/>
      <c r="C39" s="265" t="s">
        <v>54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6264945</v>
      </c>
      <c r="D41" s="203">
        <f t="shared" ref="D41:P41" si="11">-D7</f>
        <v>0</v>
      </c>
      <c r="E41" s="203">
        <f t="shared" si="11"/>
        <v>0</v>
      </c>
      <c r="F41" s="203">
        <f t="shared" si="11"/>
        <v>2645843</v>
      </c>
      <c r="G41" s="203">
        <f t="shared" si="11"/>
        <v>2928000</v>
      </c>
      <c r="H41" s="203">
        <f t="shared" si="11"/>
        <v>373151</v>
      </c>
      <c r="I41" s="203">
        <f t="shared" si="11"/>
        <v>317951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44234727</v>
      </c>
      <c r="D42" s="15">
        <f t="shared" ref="D42:P42" si="12">+D62+D69</f>
        <v>30435495</v>
      </c>
      <c r="E42" s="15">
        <f t="shared" si="12"/>
        <v>0</v>
      </c>
      <c r="F42" s="15">
        <f t="shared" si="12"/>
        <v>1610000</v>
      </c>
      <c r="G42" s="15">
        <f t="shared" si="12"/>
        <v>8464185</v>
      </c>
      <c r="H42" s="15">
        <f t="shared" si="12"/>
        <v>425280</v>
      </c>
      <c r="I42" s="15">
        <f t="shared" si="12"/>
        <v>3212467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80000</v>
      </c>
      <c r="N42" s="15">
        <f t="shared" si="12"/>
        <v>0</v>
      </c>
      <c r="O42" s="15">
        <f t="shared" si="12"/>
        <v>7300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-6318910</v>
      </c>
      <c r="D43" s="115"/>
      <c r="E43" s="115"/>
      <c r="F43" s="115">
        <v>-2155650</v>
      </c>
      <c r="G43" s="115">
        <v>-3115200</v>
      </c>
      <c r="H43" s="115">
        <v>-730109</v>
      </c>
      <c r="I43" s="115">
        <v>-317951</v>
      </c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44180762</v>
      </c>
      <c r="D44" s="15">
        <f>+D41+D42+D43</f>
        <v>30435495</v>
      </c>
      <c r="E44" s="15">
        <f t="shared" ref="E44:P44" si="13">+E41+E42+E43</f>
        <v>0</v>
      </c>
      <c r="F44" s="15">
        <f t="shared" si="13"/>
        <v>2100193</v>
      </c>
      <c r="G44" s="15">
        <f t="shared" si="13"/>
        <v>8276985</v>
      </c>
      <c r="H44" s="15">
        <f t="shared" si="13"/>
        <v>68322</v>
      </c>
      <c r="I44" s="15">
        <f t="shared" si="13"/>
        <v>3212467</v>
      </c>
      <c r="J44" s="15">
        <f t="shared" si="13"/>
        <v>0</v>
      </c>
      <c r="K44" s="15">
        <f t="shared" si="13"/>
        <v>0</v>
      </c>
      <c r="L44" s="15">
        <f t="shared" si="13"/>
        <v>0</v>
      </c>
      <c r="M44" s="15">
        <f t="shared" si="13"/>
        <v>80000</v>
      </c>
      <c r="N44" s="15">
        <f t="shared" si="13"/>
        <v>0</v>
      </c>
      <c r="O44" s="15">
        <f t="shared" si="13"/>
        <v>7300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44180762</v>
      </c>
      <c r="D45" s="138">
        <f>+'PLAN RASHODA I IZDATAKA'!D71</f>
        <v>30435495</v>
      </c>
      <c r="E45" s="138">
        <f>+'PLAN RASHODA I IZDATAKA'!E71</f>
        <v>0</v>
      </c>
      <c r="F45" s="138">
        <f>+'PLAN RASHODA I IZDATAKA'!F71</f>
        <v>2100193</v>
      </c>
      <c r="G45" s="138">
        <f>+'PLAN RASHODA I IZDATAKA'!G71</f>
        <v>8276985</v>
      </c>
      <c r="H45" s="138">
        <f>+'PLAN RASHODA I IZDATAKA'!H71</f>
        <v>68322</v>
      </c>
      <c r="I45" s="138">
        <f>+'PLAN RASHODA I IZDATAKA'!I71</f>
        <v>3212467</v>
      </c>
      <c r="J45" s="138">
        <f>+'PLAN RASHODA I IZDATAKA'!J71</f>
        <v>0</v>
      </c>
      <c r="K45" s="138">
        <f>+'PLAN RASHODA I IZDATAKA'!K71</f>
        <v>0</v>
      </c>
      <c r="L45" s="138">
        <f>+'PLAN RASHODA I IZDATAKA'!L71</f>
        <v>0</v>
      </c>
      <c r="M45" s="138">
        <f>+'PLAN RASHODA I IZDATAKA'!M71</f>
        <v>80000</v>
      </c>
      <c r="N45" s="138">
        <f>+'PLAN RASHODA I IZDATAKA'!N71</f>
        <v>0</v>
      </c>
      <c r="O45" s="138">
        <f>+'PLAN RASHODA I IZDATAKA'!O71</f>
        <v>7300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0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425280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425280</v>
      </c>
      <c r="I48" s="204">
        <f>SUMIFS('Plan prihoda za unos u SAP'!$H$3:$H$501,'Plan prihoda za unos u SAP'!$C$3:$C$501,"=52",'Plan prihoda za unos u SAP'!$K$3:$K$501,"=632")</f>
        <v>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0</v>
      </c>
      <c r="L48" s="204">
        <f>SUMIFS('Plan prihoda za unos u SAP'!$H$3:$H$501,'Plan prihoda za unos u SAP'!$C$3:$C$501,"=563",'Plan prihoda za unos u SAP'!$K$3:$K$501,"=632")</f>
        <v>0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0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0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0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0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3212467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3212467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8464185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8464185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1610000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1610000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80000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80000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30435495</v>
      </c>
      <c r="D59" s="204">
        <f>SUMIFS('Plan prihoda za unos u SAP'!$H$3:$H$501,'Plan prihoda za unos u SAP'!$C$3:$C$501,"=11",'Plan prihoda za unos u SAP'!$K$3:$K$501,"=671")</f>
        <v>30435495</v>
      </c>
      <c r="E59" s="204">
        <f>SUMIFS('Plan prihoda za unos u SAP'!$H$3:$H$501,'Plan prihoda za unos u SAP'!$C$3:$C$501,"=12",'Plan prihoda za unos u SAP'!$K$3:$K$501,"=671")</f>
        <v>0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44227427</v>
      </c>
      <c r="D62" s="4">
        <f t="shared" ref="D62:P62" si="17">SUM(D47:D61)</f>
        <v>30435495</v>
      </c>
      <c r="E62" s="4">
        <f t="shared" si="17"/>
        <v>0</v>
      </c>
      <c r="F62" s="4">
        <f t="shared" si="17"/>
        <v>1610000</v>
      </c>
      <c r="G62" s="4">
        <f t="shared" si="17"/>
        <v>8464185</v>
      </c>
      <c r="H62" s="4">
        <f t="shared" si="17"/>
        <v>425280</v>
      </c>
      <c r="I62" s="4">
        <f t="shared" si="17"/>
        <v>3212467</v>
      </c>
      <c r="J62" s="4">
        <f t="shared" si="17"/>
        <v>0</v>
      </c>
      <c r="K62" s="4">
        <f t="shared" si="17"/>
        <v>0</v>
      </c>
      <c r="L62" s="4">
        <f t="shared" si="17"/>
        <v>0</v>
      </c>
      <c r="M62" s="4">
        <f t="shared" si="17"/>
        <v>80000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7300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7300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7300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7300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8" t="s">
        <v>339</v>
      </c>
      <c r="B73" s="268"/>
      <c r="C73" s="72">
        <f>SUM(D73:P73)</f>
        <v>44234727</v>
      </c>
      <c r="D73" s="72">
        <f t="shared" ref="D73:P73" si="20">+D72+D69+D62</f>
        <v>30435495</v>
      </c>
      <c r="E73" s="72">
        <f t="shared" si="20"/>
        <v>0</v>
      </c>
      <c r="F73" s="72">
        <f t="shared" si="20"/>
        <v>1610000</v>
      </c>
      <c r="G73" s="72">
        <f t="shared" si="20"/>
        <v>8464185</v>
      </c>
      <c r="H73" s="72">
        <f t="shared" si="20"/>
        <v>425280</v>
      </c>
      <c r="I73" s="72">
        <f t="shared" si="20"/>
        <v>3212467</v>
      </c>
      <c r="J73" s="72">
        <f t="shared" si="20"/>
        <v>0</v>
      </c>
      <c r="K73" s="72">
        <f t="shared" si="20"/>
        <v>0</v>
      </c>
      <c r="L73" s="72">
        <f t="shared" si="20"/>
        <v>0</v>
      </c>
      <c r="M73" s="72">
        <f t="shared" si="20"/>
        <v>80000</v>
      </c>
      <c r="N73" s="72">
        <f t="shared" si="20"/>
        <v>0</v>
      </c>
      <c r="O73" s="72">
        <f t="shared" si="20"/>
        <v>7300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3" t="s">
        <v>292</v>
      </c>
      <c r="B75" s="264"/>
      <c r="C75" s="265" t="s">
        <v>840</v>
      </c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7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6318910</v>
      </c>
      <c r="D77" s="203">
        <f t="shared" ref="D77:P77" si="22">-D43</f>
        <v>0</v>
      </c>
      <c r="E77" s="203">
        <f t="shared" si="22"/>
        <v>0</v>
      </c>
      <c r="F77" s="203">
        <f t="shared" si="22"/>
        <v>2155650</v>
      </c>
      <c r="G77" s="203">
        <f t="shared" si="22"/>
        <v>3115200</v>
      </c>
      <c r="H77" s="203">
        <f t="shared" si="22"/>
        <v>730109</v>
      </c>
      <c r="I77" s="203">
        <f t="shared" si="22"/>
        <v>317951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44708004</v>
      </c>
      <c r="D78" s="15">
        <f t="shared" ref="D78:P78" si="23">+D98+D105</f>
        <v>30630622</v>
      </c>
      <c r="E78" s="15">
        <f t="shared" si="23"/>
        <v>0</v>
      </c>
      <c r="F78" s="15">
        <f t="shared" si="23"/>
        <v>1610000</v>
      </c>
      <c r="G78" s="15">
        <f t="shared" si="23"/>
        <v>8836185</v>
      </c>
      <c r="H78" s="15">
        <f t="shared" si="23"/>
        <v>0</v>
      </c>
      <c r="I78" s="15">
        <f t="shared" si="23"/>
        <v>3543897</v>
      </c>
      <c r="J78" s="15">
        <f t="shared" si="23"/>
        <v>0</v>
      </c>
      <c r="K78" s="15">
        <f t="shared" si="23"/>
        <v>0</v>
      </c>
      <c r="L78" s="15">
        <f t="shared" si="23"/>
        <v>0</v>
      </c>
      <c r="M78" s="15">
        <f t="shared" si="23"/>
        <v>80000</v>
      </c>
      <c r="N78" s="15">
        <f t="shared" si="23"/>
        <v>0</v>
      </c>
      <c r="O78" s="15">
        <f t="shared" si="23"/>
        <v>7300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-6389917</v>
      </c>
      <c r="D79" s="115"/>
      <c r="E79" s="115"/>
      <c r="F79" s="115">
        <v>-1665457</v>
      </c>
      <c r="G79" s="115">
        <v>-3676400</v>
      </c>
      <c r="H79" s="115">
        <v>-730109</v>
      </c>
      <c r="I79" s="115">
        <v>-317951</v>
      </c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44636997</v>
      </c>
      <c r="D80" s="15">
        <f>+D77+D78+D79</f>
        <v>30630622</v>
      </c>
      <c r="E80" s="15">
        <f t="shared" ref="E80:P80" si="24">+E77+E78+E79</f>
        <v>0</v>
      </c>
      <c r="F80" s="15">
        <f t="shared" si="24"/>
        <v>2100193</v>
      </c>
      <c r="G80" s="15">
        <f t="shared" si="24"/>
        <v>8274985</v>
      </c>
      <c r="H80" s="15">
        <f t="shared" si="24"/>
        <v>0</v>
      </c>
      <c r="I80" s="15">
        <f t="shared" si="24"/>
        <v>3543897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80000</v>
      </c>
      <c r="N80" s="15">
        <f t="shared" si="24"/>
        <v>0</v>
      </c>
      <c r="O80" s="15">
        <f t="shared" si="24"/>
        <v>7300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44636997</v>
      </c>
      <c r="D81" s="138">
        <f>+'PLAN RASHODA I IZDATAKA'!D91</f>
        <v>30630622</v>
      </c>
      <c r="E81" s="138">
        <f>+'PLAN RASHODA I IZDATAKA'!E91</f>
        <v>0</v>
      </c>
      <c r="F81" s="138">
        <f>+'PLAN RASHODA I IZDATAKA'!F91</f>
        <v>2100193</v>
      </c>
      <c r="G81" s="138">
        <f>+'PLAN RASHODA I IZDATAKA'!G91</f>
        <v>8274985</v>
      </c>
      <c r="H81" s="138">
        <f>+'PLAN RASHODA I IZDATAKA'!H91</f>
        <v>0</v>
      </c>
      <c r="I81" s="138">
        <f>+'PLAN RASHODA I IZDATAKA'!I91</f>
        <v>3543897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0</v>
      </c>
      <c r="M81" s="138">
        <f>+'PLAN RASHODA I IZDATAKA'!M91</f>
        <v>80000</v>
      </c>
      <c r="N81" s="138">
        <f>+'PLAN RASHODA I IZDATAKA'!N91</f>
        <v>0</v>
      </c>
      <c r="O81" s="138">
        <f>+'PLAN RASHODA I IZDATAKA'!O91</f>
        <v>7300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0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0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0</v>
      </c>
      <c r="I84" s="204">
        <f>SUMIFS('Plan prihoda za unos u SAP'!$I$3:$I$501,'Plan prihoda za unos u SAP'!$C$3:$C$501,"=52",'Plan prihoda za unos u SAP'!$K$3:$K$501,"=632")</f>
        <v>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0</v>
      </c>
      <c r="L84" s="204">
        <f>SUMIFS('Plan prihoda za unos u SAP'!$I$3:$I$501,'Plan prihoda za unos u SAP'!$C$3:$C$501,"=563",'Plan prihoda za unos u SAP'!$K$3:$K$501,"=632")</f>
        <v>0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3543897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3543897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8836185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8836185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1610000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1610000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80000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80000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30630622</v>
      </c>
      <c r="D95" s="204">
        <f>SUMIFS('Plan prihoda za unos u SAP'!$I$3:$I$501,'Plan prihoda za unos u SAP'!$C$3:$C$501,"=11",'Plan prihoda za unos u SAP'!$K$3:$K$501,"=671")</f>
        <v>30630622</v>
      </c>
      <c r="E95" s="204">
        <f>SUMIFS('Plan prihoda za unos u SAP'!$I$3:$I$501,'Plan prihoda za unos u SAP'!$C$3:$C$501,"=12",'Plan prihoda za unos u SAP'!$K$3:$K$501,"=671")</f>
        <v>0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44700704</v>
      </c>
      <c r="D98" s="4">
        <f t="shared" ref="D98:P98" si="28">SUM(D83:D97)</f>
        <v>30630622</v>
      </c>
      <c r="E98" s="4">
        <f t="shared" si="28"/>
        <v>0</v>
      </c>
      <c r="F98" s="4">
        <f t="shared" si="28"/>
        <v>1610000</v>
      </c>
      <c r="G98" s="4">
        <f t="shared" si="28"/>
        <v>8836185</v>
      </c>
      <c r="H98" s="4">
        <f t="shared" si="28"/>
        <v>0</v>
      </c>
      <c r="I98" s="4">
        <f t="shared" si="28"/>
        <v>3543897</v>
      </c>
      <c r="J98" s="4">
        <f t="shared" si="28"/>
        <v>0</v>
      </c>
      <c r="K98" s="4">
        <f t="shared" si="28"/>
        <v>0</v>
      </c>
      <c r="L98" s="4">
        <f t="shared" si="28"/>
        <v>0</v>
      </c>
      <c r="M98" s="4">
        <f t="shared" si="28"/>
        <v>80000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7300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7300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7300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7300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8" t="s">
        <v>339</v>
      </c>
      <c r="B109" s="268"/>
      <c r="C109" s="72">
        <f>SUM(D109:P109)</f>
        <v>44708004</v>
      </c>
      <c r="D109" s="72">
        <f t="shared" ref="D109:P109" si="31">+D108+D105+D98</f>
        <v>30630622</v>
      </c>
      <c r="E109" s="72">
        <f t="shared" si="31"/>
        <v>0</v>
      </c>
      <c r="F109" s="72">
        <f t="shared" si="31"/>
        <v>1610000</v>
      </c>
      <c r="G109" s="72">
        <f t="shared" si="31"/>
        <v>8836185</v>
      </c>
      <c r="H109" s="72">
        <f t="shared" si="31"/>
        <v>0</v>
      </c>
      <c r="I109" s="72">
        <f t="shared" si="31"/>
        <v>3543897</v>
      </c>
      <c r="J109" s="72">
        <f t="shared" si="31"/>
        <v>0</v>
      </c>
      <c r="K109" s="72">
        <f t="shared" si="31"/>
        <v>0</v>
      </c>
      <c r="L109" s="72">
        <f t="shared" si="31"/>
        <v>0</v>
      </c>
      <c r="M109" s="72">
        <f t="shared" si="31"/>
        <v>80000</v>
      </c>
      <c r="N109" s="72">
        <f t="shared" si="31"/>
        <v>0</v>
      </c>
      <c r="O109" s="72">
        <f t="shared" si="31"/>
        <v>7300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="80" zoomScaleNormal="80" zoomScaleSheetLayoutView="80" workbookViewId="0">
      <pane xSplit="3" ySplit="3" topLeftCell="D67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0" t="s">
        <v>841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45585620</v>
      </c>
      <c r="D3" s="123">
        <f t="shared" ref="D3:P3" si="0">D4+D38+D58</f>
        <v>29775375</v>
      </c>
      <c r="E3" s="123">
        <f t="shared" si="0"/>
        <v>0</v>
      </c>
      <c r="F3" s="123">
        <f t="shared" si="0"/>
        <v>3100193</v>
      </c>
      <c r="G3" s="123">
        <f t="shared" si="0"/>
        <v>8334185</v>
      </c>
      <c r="H3" s="123">
        <f t="shared" si="0"/>
        <v>413960</v>
      </c>
      <c r="I3" s="123">
        <f t="shared" si="0"/>
        <v>3874607</v>
      </c>
      <c r="J3" s="123">
        <f t="shared" si="0"/>
        <v>0</v>
      </c>
      <c r="K3" s="123">
        <f t="shared" si="0"/>
        <v>0</v>
      </c>
      <c r="L3" s="123">
        <f t="shared" si="0"/>
        <v>0</v>
      </c>
      <c r="M3" s="123">
        <f t="shared" si="0"/>
        <v>80000</v>
      </c>
      <c r="N3" s="123">
        <f t="shared" si="0"/>
        <v>0</v>
      </c>
      <c r="O3" s="123">
        <f t="shared" si="0"/>
        <v>7300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44907620</v>
      </c>
      <c r="D4" s="127">
        <f>D5+D9+D15+D19+D23+D30+D33</f>
        <v>29751375</v>
      </c>
      <c r="E4" s="127">
        <f t="shared" ref="E4:P4" si="1">E5+E9+E15+E19+E23+E30+E33</f>
        <v>0</v>
      </c>
      <c r="F4" s="127">
        <f t="shared" si="1"/>
        <v>2952493</v>
      </c>
      <c r="G4" s="127">
        <f t="shared" si="1"/>
        <v>8065185</v>
      </c>
      <c r="H4" s="127">
        <f t="shared" si="1"/>
        <v>413960</v>
      </c>
      <c r="I4" s="127">
        <f t="shared" si="1"/>
        <v>3644607</v>
      </c>
      <c r="J4" s="127">
        <f t="shared" si="1"/>
        <v>0</v>
      </c>
      <c r="K4" s="127">
        <f t="shared" si="1"/>
        <v>0</v>
      </c>
      <c r="L4" s="127">
        <f t="shared" si="1"/>
        <v>0</v>
      </c>
      <c r="M4" s="127">
        <f t="shared" si="1"/>
        <v>80000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32264384</v>
      </c>
      <c r="D5" s="13">
        <f>SUM(D6:D8)</f>
        <v>27014799</v>
      </c>
      <c r="E5" s="13">
        <f t="shared" ref="E5:P5" si="3">SUM(E6:E8)</f>
        <v>0</v>
      </c>
      <c r="F5" s="13">
        <f t="shared" si="3"/>
        <v>1324318</v>
      </c>
      <c r="G5" s="13">
        <f t="shared" si="3"/>
        <v>3315948</v>
      </c>
      <c r="H5" s="13">
        <f t="shared" si="3"/>
        <v>302497</v>
      </c>
      <c r="I5" s="13">
        <f t="shared" si="3"/>
        <v>306822</v>
      </c>
      <c r="J5" s="13">
        <f t="shared" si="3"/>
        <v>0</v>
      </c>
      <c r="K5" s="13">
        <f t="shared" si="3"/>
        <v>0</v>
      </c>
      <c r="L5" s="13">
        <f t="shared" si="3"/>
        <v>0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26941499</v>
      </c>
      <c r="D6" s="143">
        <f>SUMIFS('Plan rashoda za unos u SAP'!$I$3:$I$501,'Plan rashoda za unos u SAP'!$C$3:$C$501,"=11",'Plan rashoda za unos u SAP'!$M$3:$M$501,"=311")</f>
        <v>22636762</v>
      </c>
      <c r="E6" s="143">
        <f>SUMIFS('Plan rashoda za unos u SAP'!$I$3:$I$501,'Plan rashoda za unos u SAP'!$C$3:$C$501,"=12",'Plan rashoda za unos u SAP'!$M$3:$M$501,"=311")</f>
        <v>0</v>
      </c>
      <c r="F6" s="143">
        <f>SUMIFS('Plan rashoda za unos u SAP'!$I$3:$I$501,'Plan rashoda za unos u SAP'!$C$3:$C$501,"=31",'Plan rashoda za unos u SAP'!$M$3:$M$501,"=311")</f>
        <v>1057425</v>
      </c>
      <c r="G6" s="143">
        <f>SUMIFS('Plan rashoda za unos u SAP'!$I$3:$I$501,'Plan rashoda za unos u SAP'!$C$3:$C$501,"=43",'Plan rashoda za unos u SAP'!$M$3:$M$501,"=311")</f>
        <v>2724291</v>
      </c>
      <c r="H6" s="143">
        <f>SUMIFS('Plan rashoda za unos u SAP'!$I$3:$I$501,'Plan rashoda za unos u SAP'!$C$3:$C$501,"=51",'Plan rashoda za unos u SAP'!$M$3:$M$501,"=311")</f>
        <v>259654</v>
      </c>
      <c r="I6" s="143">
        <f>SUMIFS('Plan rashoda za unos u SAP'!$I$3:$I$501,'Plan rashoda za unos u SAP'!$C$3:$C$501,"=52",'Plan rashoda za unos u SAP'!$M$3:$M$501,"=311")</f>
        <v>263367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0</v>
      </c>
      <c r="L6" s="143">
        <f>SUMIFS('Plan rashoda za unos u SAP'!$I$3:$I$501,'Plan rashoda za unos u SAP'!$C$3:$C$501,"=563",'Plan rashoda za unos u SAP'!$M$3:$M$501,"=311")</f>
        <v>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985500</v>
      </c>
      <c r="D7" s="143">
        <f>SUMIFS('Plan rashoda za unos u SAP'!$I$3:$I$501,'Plan rashoda za unos u SAP'!$C$3:$C$501,"=11",'Plan rashoda za unos u SAP'!$M$3:$M$501,"=312")</f>
        <v>642975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133533</v>
      </c>
      <c r="G7" s="143">
        <f>SUMIFS('Plan rashoda za unos u SAP'!$I$3:$I$501,'Plan rashoda za unos u SAP'!$C$3:$C$501,"=43",'Plan rashoda za unos u SAP'!$M$3:$M$501,"=312")</f>
        <v>208992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4337385</v>
      </c>
      <c r="D8" s="143">
        <f>SUMIFS('Plan rashoda za unos u SAP'!$I$3:$I$501,'Plan rashoda za unos u SAP'!$C$3:$C$501,"=11",'Plan rashoda za unos u SAP'!$M$3:$M$501,"=313")</f>
        <v>3735062</v>
      </c>
      <c r="E8" s="143">
        <f>SUMIFS('Plan rashoda za unos u SAP'!$I$3:$I$501,'Plan rashoda za unos u SAP'!$C$3:$C$501,"=12",'Plan rashoda za unos u SAP'!$M$3:$M$501,"=313")</f>
        <v>0</v>
      </c>
      <c r="F8" s="143">
        <f>SUMIFS('Plan rashoda za unos u SAP'!$I$3:$I$501,'Plan rashoda za unos u SAP'!$C$3:$C$501,"=31",'Plan rashoda za unos u SAP'!$M$3:$M$501,"=313")</f>
        <v>133360</v>
      </c>
      <c r="G8" s="143">
        <f>SUMIFS('Plan rashoda za unos u SAP'!$I$3:$I$501,'Plan rashoda za unos u SAP'!$C$3:$C$501,"=43",'Plan rashoda za unos u SAP'!$M$3:$M$501,"=313")</f>
        <v>382665</v>
      </c>
      <c r="H8" s="143">
        <f>SUMIFS('Plan rashoda za unos u SAP'!$I$3:$I$501,'Plan rashoda za unos u SAP'!$C$3:$C$501,"=51",'Plan rashoda za unos u SAP'!$M$3:$M$501,"=313")</f>
        <v>42843</v>
      </c>
      <c r="I8" s="143">
        <f>SUMIFS('Plan rashoda za unos u SAP'!$I$3:$I$501,'Plan rashoda za unos u SAP'!$C$3:$C$501,"=52",'Plan rashoda za unos u SAP'!$M$3:$M$501,"=313")</f>
        <v>43455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11210221</v>
      </c>
      <c r="D9" s="79">
        <f t="shared" ref="D9:P9" si="4">SUM(D10:D14)</f>
        <v>2645076</v>
      </c>
      <c r="E9" s="79">
        <f t="shared" si="4"/>
        <v>0</v>
      </c>
      <c r="F9" s="79">
        <f t="shared" si="4"/>
        <v>1551105</v>
      </c>
      <c r="G9" s="79">
        <f t="shared" si="4"/>
        <v>4655657</v>
      </c>
      <c r="H9" s="79">
        <f t="shared" si="4"/>
        <v>111463</v>
      </c>
      <c r="I9" s="79">
        <f t="shared" si="4"/>
        <v>2166920</v>
      </c>
      <c r="J9" s="79">
        <f t="shared" si="4"/>
        <v>0</v>
      </c>
      <c r="K9" s="79">
        <f t="shared" si="4"/>
        <v>0</v>
      </c>
      <c r="L9" s="79">
        <f t="shared" si="4"/>
        <v>0</v>
      </c>
      <c r="M9" s="79">
        <f t="shared" si="4"/>
        <v>80000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3105000</v>
      </c>
      <c r="D10" s="143">
        <f>SUMIFS('Plan rashoda za unos u SAP'!$I$3:$I$501,'Plan rashoda za unos u SAP'!$C$3:$C$501,"=11",'Plan rashoda za unos u SAP'!$M$3:$M$501,"=321")</f>
        <v>353485</v>
      </c>
      <c r="E10" s="143">
        <f>SUMIFS('Plan rashoda za unos u SAP'!$I$3:$I$501,'Plan rashoda za unos u SAP'!$C$3:$C$501,"=12",'Plan rashoda za unos u SAP'!$M$3:$M$501,"=321")</f>
        <v>0</v>
      </c>
      <c r="F10" s="143">
        <f>SUMIFS('Plan rashoda za unos u SAP'!$I$3:$I$501,'Plan rashoda za unos u SAP'!$C$3:$C$501,"=31",'Plan rashoda za unos u SAP'!$M$3:$M$501,"=321")</f>
        <v>190532</v>
      </c>
      <c r="G10" s="143">
        <f>SUMIFS('Plan rashoda za unos u SAP'!$I$3:$I$501,'Plan rashoda za unos u SAP'!$C$3:$C$501,"=43",'Plan rashoda za unos u SAP'!$M$3:$M$501,"=321")</f>
        <v>476500</v>
      </c>
      <c r="H10" s="143">
        <f>SUMIFS('Plan rashoda za unos u SAP'!$I$3:$I$501,'Plan rashoda za unos u SAP'!$C$3:$C$501,"=51",'Plan rashoda za unos u SAP'!$M$3:$M$501,"=321")</f>
        <v>103963</v>
      </c>
      <c r="I10" s="143">
        <f>SUMIFS('Plan rashoda za unos u SAP'!$I$3:$I$501,'Plan rashoda za unos u SAP'!$C$3:$C$501,"=52",'Plan rashoda za unos u SAP'!$M$3:$M$501,"=321")</f>
        <v>1980520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0</v>
      </c>
      <c r="L10" s="143">
        <f>SUMIFS('Plan rashoda za unos u SAP'!$I$3:$I$501,'Plan rashoda za unos u SAP'!$C$3:$C$501,"=563",'Plan rashoda za unos u SAP'!$M$3:$M$501,"=321")</f>
        <v>0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1413500</v>
      </c>
      <c r="D11" s="143">
        <f>SUMIFS('Plan rashoda za unos u SAP'!$I$3:$I$501,'Plan rashoda za unos u SAP'!$C$3:$C$501,"=11",'Plan rashoda za unos u SAP'!$M$3:$M$501,"=322")</f>
        <v>421330</v>
      </c>
      <c r="E11" s="143">
        <f>SUMIFS('Plan rashoda za unos u SAP'!$I$3:$I$501,'Plan rashoda za unos u SAP'!$C$3:$C$501,"=12",'Plan rashoda za unos u SAP'!$M$3:$M$501,"=322")</f>
        <v>0</v>
      </c>
      <c r="F11" s="143">
        <f>SUMIFS('Plan rashoda za unos u SAP'!$I$3:$I$501,'Plan rashoda za unos u SAP'!$C$3:$C$501,"=31",'Plan rashoda za unos u SAP'!$M$3:$M$501,"=322")</f>
        <v>248925</v>
      </c>
      <c r="G11" s="143">
        <f>SUMIFS('Plan rashoda za unos u SAP'!$I$3:$I$501,'Plan rashoda za unos u SAP'!$C$3:$C$501,"=43",'Plan rashoda za unos u SAP'!$M$3:$M$501,"=322")</f>
        <v>743245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0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0</v>
      </c>
      <c r="L11" s="143">
        <f>SUMIFS('Plan rashoda za unos u SAP'!$I$3:$I$501,'Plan rashoda za unos u SAP'!$C$3:$C$501,"=563",'Plan rashoda za unos u SAP'!$M$3:$M$501,"=322")</f>
        <v>0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4189500</v>
      </c>
      <c r="D12" s="143">
        <f>SUMIFS('Plan rashoda za unos u SAP'!$I$3:$I$501,'Plan rashoda za unos u SAP'!$C$3:$C$501,"=11",'Plan rashoda za unos u SAP'!$M$3:$M$501,"=323")</f>
        <v>1663261</v>
      </c>
      <c r="E12" s="143">
        <f>SUMIFS('Plan rashoda za unos u SAP'!$I$3:$I$501,'Plan rashoda za unos u SAP'!$C$3:$C$501,"=12",'Plan rashoda za unos u SAP'!$M$3:$M$501,"=323")</f>
        <v>0</v>
      </c>
      <c r="F12" s="143">
        <f>SUMIFS('Plan rashoda za unos u SAP'!$I$3:$I$501,'Plan rashoda za unos u SAP'!$C$3:$C$501,"=31",'Plan rashoda za unos u SAP'!$M$3:$M$501,"=323")</f>
        <v>853444</v>
      </c>
      <c r="G12" s="143">
        <f>SUMIFS('Plan rashoda za unos u SAP'!$I$3:$I$501,'Plan rashoda za unos u SAP'!$C$3:$C$501,"=43",'Plan rashoda za unos u SAP'!$M$3:$M$501,"=323")</f>
        <v>1632795</v>
      </c>
      <c r="H12" s="143">
        <f>SUMIFS('Plan rashoda za unos u SAP'!$I$3:$I$501,'Plan rashoda za unos u SAP'!$C$3:$C$501,"=51",'Plan rashoda za unos u SAP'!$M$3:$M$501,"=323")</f>
        <v>0</v>
      </c>
      <c r="I12" s="143">
        <f>SUMIFS('Plan rashoda za unos u SAP'!$I$3:$I$501,'Plan rashoda za unos u SAP'!$C$3:$C$501,"=52",'Plan rashoda za unos u SAP'!$M$3:$M$501,"=323")</f>
        <v>0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0</v>
      </c>
      <c r="L12" s="143">
        <f>SUMIFS('Plan rashoda za unos u SAP'!$I$3:$I$501,'Plan rashoda za unos u SAP'!$C$3:$C$501,"=563",'Plan rashoda za unos u SAP'!$M$3:$M$501,"=323")</f>
        <v>0</v>
      </c>
      <c r="M12" s="143">
        <f>SUMIFS('Plan rashoda za unos u SAP'!$I$3:$I$501,'Plan rashoda za unos u SAP'!$C$3:$C$501,"=61",'Plan rashoda za unos u SAP'!$M$3:$M$501,"=323")</f>
        <v>40000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210000</v>
      </c>
      <c r="D13" s="143">
        <f>SUMIFS('Plan rashoda za unos u SAP'!$I$3:$I$501,'Plan rashoda za unos u SAP'!$C$3:$C$501,"=11",'Plan rashoda za unos u SAP'!$M$3:$M$501,"=324")</f>
        <v>43000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32142</v>
      </c>
      <c r="G13" s="143">
        <f>SUMIFS('Plan rashoda za unos u SAP'!$I$3:$I$501,'Plan rashoda za unos u SAP'!$C$3:$C$501,"=43",'Plan rashoda za unos u SAP'!$M$3:$M$501,"=324")</f>
        <v>74858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60000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2292221</v>
      </c>
      <c r="D14" s="143">
        <f>SUMIFS('Plan rashoda za unos u SAP'!$I$3:$I$501,'Plan rashoda za unos u SAP'!$C$3:$C$501,"=11",'Plan rashoda za unos u SAP'!$M$3:$M$501,"=329")</f>
        <v>164000</v>
      </c>
      <c r="E14" s="143">
        <f>SUMIFS('Plan rashoda za unos u SAP'!$I$3:$I$501,'Plan rashoda za unos u SAP'!$C$3:$C$501,"=12",'Plan rashoda za unos u SAP'!$M$3:$M$501,"=329")</f>
        <v>0</v>
      </c>
      <c r="F14" s="143">
        <f>SUMIFS('Plan rashoda za unos u SAP'!$I$3:$I$501,'Plan rashoda za unos u SAP'!$C$3:$C$501,"=31",'Plan rashoda za unos u SAP'!$M$3:$M$501,"=329")</f>
        <v>226062</v>
      </c>
      <c r="G14" s="143">
        <f>SUMIFS('Plan rashoda za unos u SAP'!$I$3:$I$501,'Plan rashoda za unos u SAP'!$C$3:$C$501,"=43",'Plan rashoda za unos u SAP'!$M$3:$M$501,"=329")</f>
        <v>1728259</v>
      </c>
      <c r="H14" s="143">
        <f>SUMIFS('Plan rashoda za unos u SAP'!$I$3:$I$501,'Plan rashoda za unos u SAP'!$C$3:$C$501,"=51",'Plan rashoda za unos u SAP'!$M$3:$M$501,"=329")</f>
        <v>7500</v>
      </c>
      <c r="I14" s="143">
        <f>SUMIFS('Plan rashoda za unos u SAP'!$I$3:$I$501,'Plan rashoda za unos u SAP'!$C$3:$C$501,"=52",'Plan rashoda za unos u SAP'!$M$3:$M$501,"=329")</f>
        <v>126400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40000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36000</v>
      </c>
      <c r="D15" s="4">
        <f t="shared" ref="D15:P15" si="5">SUM(D16:D18)</f>
        <v>11500</v>
      </c>
      <c r="E15" s="4">
        <f t="shared" si="5"/>
        <v>0</v>
      </c>
      <c r="F15" s="4">
        <f t="shared" si="5"/>
        <v>10920</v>
      </c>
      <c r="G15" s="4">
        <f t="shared" si="5"/>
        <v>13580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36000</v>
      </c>
      <c r="D18" s="143">
        <f>SUMIFS('Plan rashoda za unos u SAP'!$I$3:$I$501,'Plan rashoda za unos u SAP'!$C$3:$C$501,"=11",'Plan rashoda za unos u SAP'!$M$3:$M$501,"=343")</f>
        <v>11500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10920</v>
      </c>
      <c r="G18" s="143">
        <f>SUMIFS('Plan rashoda za unos u SAP'!$I$3:$I$501,'Plan rashoda za unos u SAP'!$C$3:$C$501,"=43",'Plan rashoda za unos u SAP'!$M$3:$M$501,"=343")</f>
        <v>13580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1170865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1170865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1170865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1170865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206150</v>
      </c>
      <c r="D30" s="4">
        <f t="shared" ref="D30:P30" si="8">SUM(D31:D32)</f>
        <v>80000</v>
      </c>
      <c r="E30" s="4">
        <f t="shared" si="8"/>
        <v>0</v>
      </c>
      <c r="F30" s="4">
        <f t="shared" si="8"/>
        <v>46150</v>
      </c>
      <c r="G30" s="4">
        <f t="shared" si="8"/>
        <v>80000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206150</v>
      </c>
      <c r="D32" s="143">
        <f>SUMIFS('Plan rashoda za unos u SAP'!$I$3:$I$501,'Plan rashoda za unos u SAP'!$C$3:$C$501,"=11",'Plan rashoda za unos u SAP'!$M$3:$M$501,"=372")</f>
        <v>80000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46150</v>
      </c>
      <c r="G32" s="143">
        <f>SUMIFS('Plan rashoda za unos u SAP'!$I$3:$I$501,'Plan rashoda za unos u SAP'!$C$3:$C$501,"=43",'Plan rashoda za unos u SAP'!$M$3:$M$501,"=372")</f>
        <v>80000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20000</v>
      </c>
      <c r="D33" s="4">
        <f t="shared" ref="D33:P33" si="9">SUM(D34:D37)</f>
        <v>0</v>
      </c>
      <c r="E33" s="4">
        <f t="shared" si="9"/>
        <v>0</v>
      </c>
      <c r="F33" s="4">
        <f t="shared" si="9"/>
        <v>20000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20000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20000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678000</v>
      </c>
      <c r="D38" s="128">
        <f>D42+D49+D51+D53+D39</f>
        <v>24000</v>
      </c>
      <c r="E38" s="128">
        <f t="shared" ref="E38:P38" si="10">E42+E49+E51+E53+E39</f>
        <v>0</v>
      </c>
      <c r="F38" s="128">
        <f t="shared" si="10"/>
        <v>147700</v>
      </c>
      <c r="G38" s="128">
        <f t="shared" si="10"/>
        <v>269000</v>
      </c>
      <c r="H38" s="128">
        <f t="shared" si="10"/>
        <v>0</v>
      </c>
      <c r="I38" s="128">
        <f t="shared" si="10"/>
        <v>230000</v>
      </c>
      <c r="J38" s="128">
        <f t="shared" si="10"/>
        <v>0</v>
      </c>
      <c r="K38" s="128">
        <f t="shared" si="10"/>
        <v>0</v>
      </c>
      <c r="L38" s="128">
        <f t="shared" si="10"/>
        <v>0</v>
      </c>
      <c r="M38" s="128">
        <f t="shared" si="10"/>
        <v>0</v>
      </c>
      <c r="N38" s="128">
        <f t="shared" si="10"/>
        <v>0</v>
      </c>
      <c r="O38" s="128">
        <f t="shared" si="10"/>
        <v>7300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598000</v>
      </c>
      <c r="D42" s="4">
        <f t="shared" ref="D42:P42" si="12">SUM(D43:D48)</f>
        <v>24000</v>
      </c>
      <c r="E42" s="4">
        <f t="shared" si="12"/>
        <v>0</v>
      </c>
      <c r="F42" s="4">
        <f t="shared" si="12"/>
        <v>147700</v>
      </c>
      <c r="G42" s="4">
        <f t="shared" si="12"/>
        <v>189000</v>
      </c>
      <c r="H42" s="4">
        <f t="shared" si="12"/>
        <v>0</v>
      </c>
      <c r="I42" s="4">
        <f t="shared" si="12"/>
        <v>230000</v>
      </c>
      <c r="J42" s="4">
        <f t="shared" si="12"/>
        <v>0</v>
      </c>
      <c r="K42" s="4">
        <f t="shared" si="12"/>
        <v>0</v>
      </c>
      <c r="L42" s="4">
        <f t="shared" si="12"/>
        <v>0</v>
      </c>
      <c r="M42" s="4">
        <f t="shared" si="12"/>
        <v>0</v>
      </c>
      <c r="N42" s="4">
        <f t="shared" si="12"/>
        <v>0</v>
      </c>
      <c r="O42" s="4">
        <f t="shared" si="12"/>
        <v>7300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425000</v>
      </c>
      <c r="D44" s="143">
        <f>SUMIFS('Plan rashoda za unos u SAP'!$I$3:$I$501,'Plan rashoda za unos u SAP'!$C$3:$C$501,"=11",'Plan rashoda za unos u SAP'!$M$3:$M$501,"=422")</f>
        <v>0</v>
      </c>
      <c r="E44" s="143">
        <f>SUMIFS('Plan rashoda za unos u SAP'!$I$3:$I$501,'Plan rashoda za unos u SAP'!$C$3:$C$501,"=12",'Plan rashoda za unos u SAP'!$M$3:$M$501,"=422")</f>
        <v>0</v>
      </c>
      <c r="F44" s="143">
        <f>SUMIFS('Plan rashoda za unos u SAP'!$I$3:$I$501,'Plan rashoda za unos u SAP'!$C$3:$C$501,"=31",'Plan rashoda za unos u SAP'!$M$3:$M$501,"=422")</f>
        <v>47700</v>
      </c>
      <c r="G44" s="143">
        <f>SUMIFS('Plan rashoda za unos u SAP'!$I$3:$I$501,'Plan rashoda za unos u SAP'!$C$3:$C$501,"=43",'Plan rashoda za unos u SAP'!$M$3:$M$501,"=422")</f>
        <v>140000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230000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0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7300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43000</v>
      </c>
      <c r="D46" s="143">
        <f>SUMIFS('Plan rashoda za unos u SAP'!$I$3:$I$501,'Plan rashoda za unos u SAP'!$C$3:$C$501,"=11",'Plan rashoda za unos u SAP'!$M$3:$M$501,"=424")</f>
        <v>24000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2000</v>
      </c>
      <c r="G46" s="143">
        <f>SUMIFS('Plan rashoda za unos u SAP'!$I$3:$I$501,'Plan rashoda za unos u SAP'!$C$3:$C$501,"=43",'Plan rashoda za unos u SAP'!$M$3:$M$501,"=424")</f>
        <v>17000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130000</v>
      </c>
      <c r="D48" s="143">
        <f>SUMIFS('Plan rashoda za unos u SAP'!$I$3:$I$501,'Plan rashoda za unos u SAP'!$C$3:$C$501,"=11",'Plan rashoda za unos u SAP'!$M$3:$M$501,"=426")</f>
        <v>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98000</v>
      </c>
      <c r="G48" s="143">
        <f>SUMIFS('Plan rashoda za unos u SAP'!$I$3:$I$501,'Plan rashoda za unos u SAP'!$C$3:$C$501,"=43",'Plan rashoda za unos u SAP'!$M$3:$M$501,"=426")</f>
        <v>32000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80000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80000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80000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80000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44180762</v>
      </c>
      <c r="D71" s="123">
        <f t="shared" ref="D71:P71" si="21">+D72+D80+D86</f>
        <v>30435495</v>
      </c>
      <c r="E71" s="123">
        <f t="shared" si="21"/>
        <v>0</v>
      </c>
      <c r="F71" s="123">
        <f t="shared" si="21"/>
        <v>2100193</v>
      </c>
      <c r="G71" s="123">
        <f t="shared" si="21"/>
        <v>8276985</v>
      </c>
      <c r="H71" s="123">
        <f t="shared" si="21"/>
        <v>68322</v>
      </c>
      <c r="I71" s="123">
        <f t="shared" si="21"/>
        <v>3212467</v>
      </c>
      <c r="J71" s="123">
        <f t="shared" si="21"/>
        <v>0</v>
      </c>
      <c r="K71" s="123">
        <f t="shared" si="21"/>
        <v>0</v>
      </c>
      <c r="L71" s="123">
        <f t="shared" si="21"/>
        <v>0</v>
      </c>
      <c r="M71" s="123">
        <f t="shared" si="21"/>
        <v>80000</v>
      </c>
      <c r="N71" s="123">
        <f t="shared" si="21"/>
        <v>0</v>
      </c>
      <c r="O71" s="123">
        <f t="shared" si="21"/>
        <v>7300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43772762</v>
      </c>
      <c r="D72" s="132">
        <f t="shared" ref="D72:P72" si="22">SUM(D73:D79)</f>
        <v>30411495</v>
      </c>
      <c r="E72" s="132">
        <f t="shared" si="22"/>
        <v>0</v>
      </c>
      <c r="F72" s="132">
        <f t="shared" si="22"/>
        <v>1952493</v>
      </c>
      <c r="G72" s="132">
        <f t="shared" si="22"/>
        <v>8047985</v>
      </c>
      <c r="H72" s="132">
        <f t="shared" si="22"/>
        <v>68322</v>
      </c>
      <c r="I72" s="132">
        <f t="shared" si="22"/>
        <v>3212467</v>
      </c>
      <c r="J72" s="132">
        <f t="shared" si="22"/>
        <v>0</v>
      </c>
      <c r="K72" s="132">
        <f t="shared" si="22"/>
        <v>0</v>
      </c>
      <c r="L72" s="132">
        <f t="shared" si="22"/>
        <v>0</v>
      </c>
      <c r="M72" s="132">
        <f t="shared" si="22"/>
        <v>80000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32054402</v>
      </c>
      <c r="D73" s="143">
        <f>SUMIFS('Plan rashoda za unos u SAP'!$J$3:$J$501,'Plan rashoda za unos u SAP'!$C$3:$C$501,"=11",'Plan rashoda za unos u SAP'!$N$3:$N$501,"=31")</f>
        <v>27674919</v>
      </c>
      <c r="E73" s="143">
        <f>SUMIFS('Plan rashoda za unos u SAP'!$J$3:$J$501,'Plan rashoda za unos u SAP'!$C$3:$C$501,"=12",'Plan rashoda za unos u SAP'!$N$3:$N$501,"=31")</f>
        <v>0</v>
      </c>
      <c r="F73" s="143">
        <f>SUMIFS('Plan rashoda za unos u SAP'!$J$3:$J$501,'Plan rashoda za unos u SAP'!$C$3:$C$501,"=31",'Plan rashoda za unos u SAP'!$N$3:$N$501,"=31")</f>
        <v>764318</v>
      </c>
      <c r="G73" s="143">
        <f>SUMIFS('Plan rashoda za unos u SAP'!$J$3:$J$501,'Plan rashoda za unos u SAP'!$C$3:$C$501,"=43",'Plan rashoda za unos u SAP'!$N$3:$N$501,"=31")</f>
        <v>3315948</v>
      </c>
      <c r="H73" s="143">
        <f>SUMIFS('Plan rashoda za unos u SAP'!$J$3:$J$501,'Plan rashoda za unos u SAP'!$C$3:$C$501,"=51",'Plan rashoda za unos u SAP'!$N$3:$N$501,"=31")</f>
        <v>41497</v>
      </c>
      <c r="I73" s="143">
        <f>SUMIFS('Plan rashoda za unos u SAP'!$J$3:$J$501,'Plan rashoda za unos u SAP'!$C$3:$C$501,"=52",'Plan rashoda za unos u SAP'!$N$3:$N$501,"=31")</f>
        <v>257720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0</v>
      </c>
      <c r="L73" s="143">
        <f>SUMIFS('Plan rashoda za unos u SAP'!$J$3:$J$501,'Plan rashoda za unos u SAP'!$C$3:$C$501,"=563",'Plan rashoda za unos u SAP'!$N$3:$N$501,"=31")</f>
        <v>0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10774694</v>
      </c>
      <c r="D74" s="143">
        <f>SUMIFS('Plan rashoda za unos u SAP'!$J$3:$J$501,'Plan rashoda za unos u SAP'!$C$3:$C$501,"=11",'Plan rashoda za unos u SAP'!$N$3:$N$501,"=32")</f>
        <v>2645076</v>
      </c>
      <c r="E74" s="143">
        <f>SUMIFS('Plan rashoda za unos u SAP'!$J$3:$J$501,'Plan rashoda za unos u SAP'!$C$3:$C$501,"=12",'Plan rashoda za unos u SAP'!$N$3:$N$501,"=32")</f>
        <v>0</v>
      </c>
      <c r="F74" s="143">
        <f>SUMIFS('Plan rashoda za unos u SAP'!$J$3:$J$501,'Plan rashoda za unos u SAP'!$C$3:$C$501,"=31",'Plan rashoda za unos u SAP'!$N$3:$N$501,"=32")</f>
        <v>1111105</v>
      </c>
      <c r="G74" s="143">
        <f>SUMIFS('Plan rashoda za unos u SAP'!$J$3:$J$501,'Plan rashoda za unos u SAP'!$C$3:$C$501,"=43",'Plan rashoda za unos u SAP'!$N$3:$N$501,"=32")</f>
        <v>4638457</v>
      </c>
      <c r="H74" s="143">
        <f>SUMIFS('Plan rashoda za unos u SAP'!$J$3:$J$501,'Plan rashoda za unos u SAP'!$C$3:$C$501,"=51",'Plan rashoda za unos u SAP'!$N$3:$N$501,"=32")</f>
        <v>26825</v>
      </c>
      <c r="I74" s="143">
        <f>SUMIFS('Plan rashoda za unos u SAP'!$J$3:$J$501,'Plan rashoda za unos u SAP'!$C$3:$C$501,"=52",'Plan rashoda za unos u SAP'!$N$3:$N$501,"=32")</f>
        <v>2273231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0</v>
      </c>
      <c r="L74" s="143">
        <f>SUMIFS('Plan rashoda za unos u SAP'!$J$3:$J$501,'Plan rashoda za unos u SAP'!$C$3:$C$501,"=563",'Plan rashoda za unos u SAP'!$N$3:$N$501,"=32")</f>
        <v>0</v>
      </c>
      <c r="M74" s="143">
        <f>SUMIFS('Plan rashoda za unos u SAP'!$J$3:$J$501,'Plan rashoda za unos u SAP'!$C$3:$C$501,"=61",'Plan rashoda za unos u SAP'!$N$3:$N$501,"=32")</f>
        <v>80000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36000</v>
      </c>
      <c r="D75" s="143">
        <f>SUMIFS('Plan rashoda za unos u SAP'!$J$3:$J$501,'Plan rashoda za unos u SAP'!$C$3:$C$501,"=11",'Plan rashoda za unos u SAP'!$N$3:$N$501,"=34")</f>
        <v>11500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10920</v>
      </c>
      <c r="G75" s="143">
        <f>SUMIFS('Plan rashoda za unos u SAP'!$J$3:$J$501,'Plan rashoda za unos u SAP'!$C$3:$C$501,"=43",'Plan rashoda za unos u SAP'!$N$3:$N$501,"=34")</f>
        <v>13580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681516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681516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206150</v>
      </c>
      <c r="D78" s="143">
        <f>SUMIFS('Plan rashoda za unos u SAP'!$J$3:$J$501,'Plan rashoda za unos u SAP'!$C$3:$C$501,"=11",'Plan rashoda za unos u SAP'!$N$3:$N$501,"=37")</f>
        <v>80000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46150</v>
      </c>
      <c r="G78" s="143">
        <f>SUMIFS('Plan rashoda za unos u SAP'!$J$3:$J$501,'Plan rashoda za unos u SAP'!$C$3:$C$501,"=43",'Plan rashoda za unos u SAP'!$N$3:$N$501,"=37")</f>
        <v>80000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20000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20000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408000</v>
      </c>
      <c r="D80" s="133">
        <f t="shared" ref="D80:P80" si="24">SUM(D81:D85)</f>
        <v>24000</v>
      </c>
      <c r="E80" s="133">
        <f t="shared" si="24"/>
        <v>0</v>
      </c>
      <c r="F80" s="133">
        <f t="shared" si="24"/>
        <v>147700</v>
      </c>
      <c r="G80" s="133">
        <f t="shared" si="24"/>
        <v>229000</v>
      </c>
      <c r="H80" s="133">
        <f t="shared" si="24"/>
        <v>0</v>
      </c>
      <c r="I80" s="133">
        <f t="shared" si="24"/>
        <v>0</v>
      </c>
      <c r="J80" s="133">
        <f t="shared" si="24"/>
        <v>0</v>
      </c>
      <c r="K80" s="133">
        <f t="shared" si="24"/>
        <v>0</v>
      </c>
      <c r="L80" s="133">
        <f t="shared" si="24"/>
        <v>0</v>
      </c>
      <c r="M80" s="133">
        <f t="shared" si="24"/>
        <v>0</v>
      </c>
      <c r="N80" s="133">
        <f t="shared" si="24"/>
        <v>0</v>
      </c>
      <c r="O80" s="133">
        <f t="shared" si="24"/>
        <v>7300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328000</v>
      </c>
      <c r="D82" s="143">
        <f>SUMIFS('Plan rashoda za unos u SAP'!$J$3:$J$501,'Plan rashoda za unos u SAP'!$C$3:$C$501,"=11",'Plan rashoda za unos u SAP'!$N$3:$N$501,"=42")</f>
        <v>24000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147700</v>
      </c>
      <c r="G82" s="143">
        <f>SUMIFS('Plan rashoda za unos u SAP'!$J$3:$J$501,'Plan rashoda za unos u SAP'!$C$3:$C$501,"=43",'Plan rashoda za unos u SAP'!$N$3:$N$501,"=42")</f>
        <v>149000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7300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80000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80000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44636997</v>
      </c>
      <c r="D91" s="123">
        <f t="shared" ref="D91:P91" si="27">D92+D100+D106</f>
        <v>30630622</v>
      </c>
      <c r="E91" s="123">
        <f t="shared" si="27"/>
        <v>0</v>
      </c>
      <c r="F91" s="123">
        <f t="shared" si="27"/>
        <v>2100193</v>
      </c>
      <c r="G91" s="123">
        <f t="shared" si="27"/>
        <v>8274985</v>
      </c>
      <c r="H91" s="123">
        <f t="shared" si="27"/>
        <v>0</v>
      </c>
      <c r="I91" s="123">
        <f t="shared" si="27"/>
        <v>3543897</v>
      </c>
      <c r="J91" s="123">
        <f t="shared" si="27"/>
        <v>0</v>
      </c>
      <c r="K91" s="123">
        <f t="shared" si="27"/>
        <v>0</v>
      </c>
      <c r="L91" s="123">
        <f t="shared" si="27"/>
        <v>0</v>
      </c>
      <c r="M91" s="123">
        <f t="shared" si="27"/>
        <v>80000</v>
      </c>
      <c r="N91" s="123">
        <f t="shared" si="27"/>
        <v>0</v>
      </c>
      <c r="O91" s="123">
        <f t="shared" si="27"/>
        <v>7300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44248997</v>
      </c>
      <c r="D92" s="132">
        <f t="shared" ref="D92:P92" si="28">SUM(D93:D99)</f>
        <v>30606622</v>
      </c>
      <c r="E92" s="132">
        <f t="shared" si="28"/>
        <v>0</v>
      </c>
      <c r="F92" s="132">
        <f t="shared" si="28"/>
        <v>1952493</v>
      </c>
      <c r="G92" s="132">
        <f t="shared" si="28"/>
        <v>8065985</v>
      </c>
      <c r="H92" s="132">
        <f t="shared" si="28"/>
        <v>0</v>
      </c>
      <c r="I92" s="132">
        <f t="shared" si="28"/>
        <v>3543897</v>
      </c>
      <c r="J92" s="132">
        <f t="shared" si="28"/>
        <v>0</v>
      </c>
      <c r="K92" s="132">
        <f t="shared" si="28"/>
        <v>0</v>
      </c>
      <c r="L92" s="132">
        <f t="shared" si="28"/>
        <v>0</v>
      </c>
      <c r="M92" s="132">
        <f t="shared" si="28"/>
        <v>80000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32008442</v>
      </c>
      <c r="D93" s="143">
        <f>SUMIFS('Plan rashoda za unos u SAP'!$K$3:$K$501,'Plan rashoda za unos u SAP'!$C$3:$C$501,"=11",'Plan rashoda za unos u SAP'!$N$3:$N$501,"=31")</f>
        <v>27870046</v>
      </c>
      <c r="E93" s="143">
        <f>SUMIFS('Plan rashoda za unos u SAP'!$K$3:$K$501,'Plan rashoda za unos u SAP'!$C$3:$C$501,"=12",'Plan rashoda za unos u SAP'!$N$3:$N$501,"=31")</f>
        <v>0</v>
      </c>
      <c r="F93" s="143">
        <f>SUMIFS('Plan rashoda za unos u SAP'!$K$3:$K$501,'Plan rashoda za unos u SAP'!$C$3:$C$501,"=31",'Plan rashoda za unos u SAP'!$N$3:$N$501,"=31")</f>
        <v>764318</v>
      </c>
      <c r="G93" s="143">
        <f>SUMIFS('Plan rashoda za unos u SAP'!$K$3:$K$501,'Plan rashoda za unos u SAP'!$C$3:$C$501,"=43",'Plan rashoda za unos u SAP'!$N$3:$N$501,"=31")</f>
        <v>3315948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58130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0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11207881</v>
      </c>
      <c r="D94" s="143">
        <f>SUMIFS('Plan rashoda za unos u SAP'!$K$3:$K$501,'Plan rashoda za unos u SAP'!$C$3:$C$501,"=11",'Plan rashoda za unos u SAP'!$N$3:$N$501,"=32")</f>
        <v>2645076</v>
      </c>
      <c r="E94" s="143">
        <f>SUMIFS('Plan rashoda za unos u SAP'!$K$3:$K$501,'Plan rashoda za unos u SAP'!$C$3:$C$501,"=12",'Plan rashoda za unos u SAP'!$N$3:$N$501,"=32")</f>
        <v>0</v>
      </c>
      <c r="F94" s="143">
        <f>SUMIFS('Plan rashoda za unos u SAP'!$K$3:$K$501,'Plan rashoda za unos u SAP'!$C$3:$C$501,"=31",'Plan rashoda za unos u SAP'!$N$3:$N$501,"=32")</f>
        <v>1111105</v>
      </c>
      <c r="G94" s="143">
        <f>SUMIFS('Plan rashoda za unos u SAP'!$K$3:$K$501,'Plan rashoda za unos u SAP'!$C$3:$C$501,"=43",'Plan rashoda za unos u SAP'!$N$3:$N$501,"=32")</f>
        <v>4656457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2715243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0</v>
      </c>
      <c r="L94" s="143">
        <f>SUMIFS('Plan rashoda za unos u SAP'!$K$3:$K$501,'Plan rashoda za unos u SAP'!$C$3:$C$501,"=563",'Plan rashoda za unos u SAP'!$N$3:$N$501,"=32")</f>
        <v>0</v>
      </c>
      <c r="M94" s="143">
        <f>SUMIFS('Plan rashoda za unos u SAP'!$K$3:$K$501,'Plan rashoda za unos u SAP'!$C$3:$C$501,"=61",'Plan rashoda za unos u SAP'!$N$3:$N$501,"=32")</f>
        <v>80000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36000</v>
      </c>
      <c r="D95" s="143">
        <f>SUMIFS('Plan rashoda za unos u SAP'!$K$3:$K$501,'Plan rashoda za unos u SAP'!$C$3:$C$501,"=11",'Plan rashoda za unos u SAP'!$N$3:$N$501,"=34")</f>
        <v>11500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10920</v>
      </c>
      <c r="G95" s="143">
        <f>SUMIFS('Plan rashoda za unos u SAP'!$K$3:$K$501,'Plan rashoda za unos u SAP'!$C$3:$C$501,"=43",'Plan rashoda za unos u SAP'!$N$3:$N$501,"=34")</f>
        <v>13580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770524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770524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206150</v>
      </c>
      <c r="D98" s="143">
        <f>SUMIFS('Plan rashoda za unos u SAP'!$K$3:$K$501,'Plan rashoda za unos u SAP'!$C$3:$C$501,"=11",'Plan rashoda za unos u SAP'!$N$3:$N$501,"=37")</f>
        <v>80000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46150</v>
      </c>
      <c r="G98" s="143">
        <f>SUMIFS('Plan rashoda za unos u SAP'!$K$3:$K$501,'Plan rashoda za unos u SAP'!$C$3:$C$501,"=43",'Plan rashoda za unos u SAP'!$N$3:$N$501,"=37")</f>
        <v>80000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20000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20000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388000</v>
      </c>
      <c r="D100" s="133">
        <f t="shared" ref="D100:P100" si="30">SUM(D101:D105)</f>
        <v>24000</v>
      </c>
      <c r="E100" s="133">
        <f t="shared" si="30"/>
        <v>0</v>
      </c>
      <c r="F100" s="133">
        <f t="shared" si="30"/>
        <v>147700</v>
      </c>
      <c r="G100" s="133">
        <f t="shared" si="30"/>
        <v>209000</v>
      </c>
      <c r="H100" s="133">
        <f t="shared" si="30"/>
        <v>0</v>
      </c>
      <c r="I100" s="133">
        <f t="shared" si="30"/>
        <v>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7300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308000</v>
      </c>
      <c r="D102" s="143">
        <f>SUMIFS('Plan rashoda za unos u SAP'!$K$3:$K$501,'Plan rashoda za unos u SAP'!$C$3:$C$501,"=11",'Plan rashoda za unos u SAP'!$N$3:$N$501,"=42")</f>
        <v>24000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147700</v>
      </c>
      <c r="G102" s="143">
        <f>SUMIFS('Plan rashoda za unos u SAP'!$K$3:$K$501,'Plan rashoda za unos u SAP'!$C$3:$C$501,"=43",'Plan rashoda za unos u SAP'!$N$3:$N$501,"=42")</f>
        <v>129000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7300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80000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80000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3" t="s">
        <v>240</v>
      </c>
      <c r="B10" s="275" t="s">
        <v>241</v>
      </c>
      <c r="C10" s="275" t="s">
        <v>242</v>
      </c>
      <c r="D10" s="278" t="s">
        <v>243</v>
      </c>
      <c r="E10" s="271" t="s">
        <v>853</v>
      </c>
      <c r="F10" s="271" t="s">
        <v>244</v>
      </c>
      <c r="G10" s="271" t="s">
        <v>245</v>
      </c>
      <c r="H10" s="271" t="s">
        <v>854</v>
      </c>
    </row>
    <row r="11" spans="1:8" ht="15.75" thickBot="1">
      <c r="A11" s="274"/>
      <c r="B11" s="276"/>
      <c r="C11" s="277"/>
      <c r="D11" s="279"/>
      <c r="E11" s="280"/>
      <c r="F11" s="272"/>
      <c r="G11" s="272"/>
      <c r="H11" s="272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A7" sqref="A7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1" t="s">
        <v>855</v>
      </c>
      <c r="B1" s="281"/>
      <c r="C1" s="205" t="str">
        <f>IF('Opći dio'!C3="odaberite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>
      <c r="A3" s="154">
        <v>51</v>
      </c>
      <c r="B3" s="149" t="str">
        <f>IFERROR(VLOOKUP(A3,$R$6:$S$16,2,FALSE),"")</f>
        <v>Pomoći EU</v>
      </c>
      <c r="C3" s="154">
        <v>3111</v>
      </c>
      <c r="D3" s="149" t="str">
        <f t="shared" ref="D3:D66" si="0">IFERROR(VLOOKUP(C3,$U$5:$W$129,2,FALSE),"")</f>
        <v>Plaće za redovan rad</v>
      </c>
      <c r="E3" s="201" t="s">
        <v>1019</v>
      </c>
      <c r="F3" s="149" t="str">
        <f>IFERROR(VLOOKUP(E3,$AA$6:$AB$200,2,FALSE),"")</f>
        <v>ERASMUS+ Inovativna poslovna suradnja - model inovativnog učenja u području turizma</v>
      </c>
      <c r="G3" s="198">
        <v>261000</v>
      </c>
      <c r="H3" s="198">
        <v>0</v>
      </c>
      <c r="I3" s="198">
        <v>0</v>
      </c>
      <c r="J3" s="226"/>
      <c r="K3" s="225"/>
      <c r="L3" s="225"/>
      <c r="M3" s="226"/>
      <c r="N3" s="226"/>
      <c r="P3" s="144" t="str">
        <f>LEFT(C3,3)</f>
        <v>311</v>
      </c>
      <c r="Q3" s="144" t="str">
        <f>LEFT(C3,2)</f>
        <v>31</v>
      </c>
    </row>
    <row r="4" spans="1:28">
      <c r="A4" s="154">
        <v>51</v>
      </c>
      <c r="B4" s="149" t="str">
        <f t="shared" ref="B4:B67" si="1">IFERROR(VLOOKUP(A4,$R$6:$S$16,2,FALSE),"")</f>
        <v>Pomoći EU</v>
      </c>
      <c r="C4" s="154">
        <v>3211</v>
      </c>
      <c r="D4" s="149" t="str">
        <f t="shared" si="0"/>
        <v>Službena putovanja</v>
      </c>
      <c r="E4" s="201" t="s">
        <v>1019</v>
      </c>
      <c r="F4" s="149" t="str">
        <f t="shared" ref="F4:F67" si="2">IFERROR(VLOOKUP(E4,$AA$6:$AB$200,2,FALSE),"")</f>
        <v>ERASMUS+ Inovativna poslovna suradnja - model inovativnog učenja u području turizma</v>
      </c>
      <c r="G4" s="198">
        <v>84638</v>
      </c>
      <c r="H4" s="198">
        <v>0</v>
      </c>
      <c r="I4" s="198">
        <v>0</v>
      </c>
      <c r="J4" s="226"/>
      <c r="K4" s="225"/>
      <c r="L4" s="225"/>
      <c r="M4" s="226"/>
      <c r="N4" s="226"/>
      <c r="P4" s="144" t="str">
        <f t="shared" ref="P4:P67" si="3">LEFT(C4,3)</f>
        <v>321</v>
      </c>
      <c r="Q4" s="144" t="str">
        <f t="shared" ref="Q4:Q67" si="4">LEFT(C4,2)</f>
        <v>32</v>
      </c>
      <c r="U4" s="150"/>
      <c r="V4" s="150"/>
    </row>
    <row r="5" spans="1:28">
      <c r="A5" s="154">
        <v>51</v>
      </c>
      <c r="B5" s="149" t="str">
        <f t="shared" si="1"/>
        <v>Pomoći EU</v>
      </c>
      <c r="C5" s="154">
        <v>3111</v>
      </c>
      <c r="D5" s="149" t="str">
        <f t="shared" si="0"/>
        <v>Plaće za redovan rad</v>
      </c>
      <c r="E5" s="201" t="s">
        <v>1021</v>
      </c>
      <c r="F5" s="149" t="str">
        <f t="shared" si="2"/>
        <v>ERASMUS+ Novi sveučilišni kurikul Cultural Studies in Business</v>
      </c>
      <c r="G5" s="198">
        <v>41497</v>
      </c>
      <c r="H5" s="198">
        <v>41497</v>
      </c>
      <c r="I5" s="198">
        <v>0</v>
      </c>
      <c r="J5" s="226"/>
      <c r="K5" s="225"/>
      <c r="L5" s="225"/>
      <c r="M5" s="226"/>
      <c r="N5" s="226"/>
      <c r="P5" s="144" t="str">
        <f t="shared" si="3"/>
        <v>311</v>
      </c>
      <c r="Q5" s="144" t="str">
        <f t="shared" si="4"/>
        <v>31</v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>
        <v>51</v>
      </c>
      <c r="B6" s="149" t="str">
        <f t="shared" si="1"/>
        <v>Pomoći EU</v>
      </c>
      <c r="C6" s="154">
        <v>3211</v>
      </c>
      <c r="D6" s="149" t="str">
        <f t="shared" si="0"/>
        <v>Službena putovanja</v>
      </c>
      <c r="E6" s="201" t="s">
        <v>1021</v>
      </c>
      <c r="F6" s="149" t="str">
        <f t="shared" si="2"/>
        <v>ERASMUS+ Novi sveučilišni kurikul Cultural Studies in Business</v>
      </c>
      <c r="G6" s="198">
        <v>19325</v>
      </c>
      <c r="H6" s="198">
        <v>19325</v>
      </c>
      <c r="I6" s="198"/>
      <c r="J6" s="226"/>
      <c r="K6" s="225"/>
      <c r="L6" s="225"/>
      <c r="M6" s="226"/>
      <c r="N6" s="226"/>
      <c r="P6" s="144" t="str">
        <f t="shared" si="3"/>
        <v>321</v>
      </c>
      <c r="Q6" s="144" t="str">
        <f t="shared" si="4"/>
        <v>32</v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>
      <c r="A7" s="154">
        <v>51</v>
      </c>
      <c r="B7" s="149" t="str">
        <f t="shared" si="1"/>
        <v>Pomoći EU</v>
      </c>
      <c r="C7" s="154">
        <v>3293</v>
      </c>
      <c r="D7" s="149" t="str">
        <f t="shared" si="0"/>
        <v>Reprezentacija</v>
      </c>
      <c r="E7" s="201" t="s">
        <v>1021</v>
      </c>
      <c r="F7" s="149" t="str">
        <f t="shared" si="2"/>
        <v>ERASMUS+ Novi sveučilišni kurikul Cultural Studies in Business</v>
      </c>
      <c r="G7" s="198">
        <v>7500</v>
      </c>
      <c r="H7" s="198">
        <v>7500</v>
      </c>
      <c r="I7" s="198"/>
      <c r="J7" s="226"/>
      <c r="K7" s="225"/>
      <c r="L7" s="225"/>
      <c r="M7" s="226"/>
      <c r="N7" s="226"/>
      <c r="P7" s="144" t="str">
        <f t="shared" si="3"/>
        <v>329</v>
      </c>
      <c r="Q7" s="144" t="str">
        <f t="shared" si="4"/>
        <v>32</v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/>
      <c r="B8" s="149" t="str">
        <f t="shared" si="1"/>
        <v/>
      </c>
      <c r="C8" s="154"/>
      <c r="D8" s="149" t="str">
        <f t="shared" si="0"/>
        <v/>
      </c>
      <c r="E8" s="201"/>
      <c r="F8" s="149" t="str">
        <f t="shared" si="2"/>
        <v/>
      </c>
      <c r="G8" s="198"/>
      <c r="H8" s="198"/>
      <c r="I8" s="198"/>
      <c r="J8" s="226"/>
      <c r="K8" s="225"/>
      <c r="L8" s="225"/>
      <c r="M8" s="226"/>
      <c r="N8" s="226"/>
      <c r="P8" s="144" t="str">
        <f t="shared" si="3"/>
        <v/>
      </c>
      <c r="Q8" s="144" t="str">
        <f t="shared" si="4"/>
        <v/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/>
      <c r="B9" s="149" t="str">
        <f t="shared" si="1"/>
        <v/>
      </c>
      <c r="C9" s="154"/>
      <c r="D9" s="149" t="str">
        <f t="shared" si="0"/>
        <v/>
      </c>
      <c r="E9" s="201"/>
      <c r="F9" s="149" t="str">
        <f t="shared" si="2"/>
        <v/>
      </c>
      <c r="G9" s="198"/>
      <c r="H9" s="198"/>
      <c r="I9" s="198"/>
      <c r="J9" s="226"/>
      <c r="K9" s="225"/>
      <c r="L9" s="225"/>
      <c r="M9" s="226"/>
      <c r="N9" s="226"/>
      <c r="P9" s="144" t="str">
        <f t="shared" si="3"/>
        <v/>
      </c>
      <c r="Q9" s="144" t="str">
        <f t="shared" si="4"/>
        <v/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/>
      <c r="B10" s="149" t="str">
        <f t="shared" si="1"/>
        <v/>
      </c>
      <c r="C10" s="154"/>
      <c r="D10" s="149" t="str">
        <f t="shared" si="0"/>
        <v/>
      </c>
      <c r="E10" s="201"/>
      <c r="F10" s="149" t="str">
        <f t="shared" si="2"/>
        <v/>
      </c>
      <c r="G10" s="198"/>
      <c r="H10" s="198"/>
      <c r="I10" s="198"/>
      <c r="J10" s="226"/>
      <c r="K10" s="225"/>
      <c r="L10" s="225"/>
      <c r="M10" s="226"/>
      <c r="N10" s="226"/>
      <c r="P10" s="144" t="str">
        <f t="shared" si="3"/>
        <v/>
      </c>
      <c r="Q10" s="144" t="str">
        <f t="shared" si="4"/>
        <v/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/>
      <c r="B11" s="149" t="str">
        <f t="shared" si="1"/>
        <v/>
      </c>
      <c r="C11" s="154"/>
      <c r="D11" s="149" t="str">
        <f t="shared" si="0"/>
        <v/>
      </c>
      <c r="E11" s="201"/>
      <c r="F11" s="149" t="str">
        <f t="shared" si="2"/>
        <v/>
      </c>
      <c r="G11" s="198"/>
      <c r="H11" s="198"/>
      <c r="I11" s="198"/>
      <c r="J11" s="226"/>
      <c r="K11" s="225"/>
      <c r="L11" s="225"/>
      <c r="M11" s="226"/>
      <c r="N11" s="226"/>
      <c r="P11" s="144" t="str">
        <f t="shared" si="3"/>
        <v/>
      </c>
      <c r="Q11" s="144" t="str">
        <f t="shared" si="4"/>
        <v/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/>
      <c r="B12" s="149" t="str">
        <f t="shared" si="1"/>
        <v/>
      </c>
      <c r="C12" s="154"/>
      <c r="D12" s="149" t="str">
        <f t="shared" si="0"/>
        <v/>
      </c>
      <c r="E12" s="201"/>
      <c r="F12" s="149" t="str">
        <f t="shared" si="2"/>
        <v/>
      </c>
      <c r="G12" s="198"/>
      <c r="H12" s="198"/>
      <c r="I12" s="198"/>
      <c r="J12" s="226"/>
      <c r="K12" s="225"/>
      <c r="L12" s="225"/>
      <c r="M12" s="226"/>
      <c r="N12" s="226"/>
      <c r="P12" s="144" t="str">
        <f t="shared" si="3"/>
        <v/>
      </c>
      <c r="Q12" s="144" t="str">
        <f t="shared" si="4"/>
        <v/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/>
      <c r="B13" s="149" t="str">
        <f t="shared" si="1"/>
        <v/>
      </c>
      <c r="C13" s="154"/>
      <c r="D13" s="149" t="str">
        <f t="shared" si="0"/>
        <v/>
      </c>
      <c r="E13" s="201"/>
      <c r="F13" s="149" t="str">
        <f t="shared" si="2"/>
        <v/>
      </c>
      <c r="G13" s="198"/>
      <c r="H13" s="198"/>
      <c r="I13" s="198"/>
      <c r="J13" s="226"/>
      <c r="K13" s="225"/>
      <c r="L13" s="225"/>
      <c r="M13" s="226"/>
      <c r="N13" s="226"/>
      <c r="P13" s="144" t="str">
        <f t="shared" si="3"/>
        <v/>
      </c>
      <c r="Q13" s="144" t="str">
        <f t="shared" si="4"/>
        <v/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>
      <c r="A14" s="154"/>
      <c r="B14" s="149" t="str">
        <f t="shared" si="1"/>
        <v/>
      </c>
      <c r="C14" s="154"/>
      <c r="D14" s="149" t="str">
        <f t="shared" si="0"/>
        <v/>
      </c>
      <c r="E14" s="201"/>
      <c r="F14" s="149" t="str">
        <f t="shared" si="2"/>
        <v/>
      </c>
      <c r="G14" s="198"/>
      <c r="H14" s="198"/>
      <c r="I14" s="198"/>
      <c r="J14" s="226"/>
      <c r="K14" s="225"/>
      <c r="L14" s="225"/>
      <c r="M14" s="226"/>
      <c r="N14" s="226"/>
      <c r="P14" s="144" t="str">
        <f t="shared" si="3"/>
        <v/>
      </c>
      <c r="Q14" s="144" t="str">
        <f t="shared" si="4"/>
        <v/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>
      <c r="A15" s="154"/>
      <c r="B15" s="149" t="str">
        <f t="shared" si="1"/>
        <v/>
      </c>
      <c r="C15" s="154"/>
      <c r="D15" s="149" t="str">
        <f t="shared" si="0"/>
        <v/>
      </c>
      <c r="E15" s="201"/>
      <c r="F15" s="149" t="str">
        <f t="shared" si="2"/>
        <v/>
      </c>
      <c r="G15" s="198"/>
      <c r="H15" s="198"/>
      <c r="I15" s="198"/>
      <c r="J15" s="226"/>
      <c r="K15" s="225"/>
      <c r="L15" s="225"/>
      <c r="M15" s="226"/>
      <c r="N15" s="226"/>
      <c r="P15" s="144" t="str">
        <f t="shared" si="3"/>
        <v/>
      </c>
      <c r="Q15" s="144" t="str">
        <f t="shared" si="4"/>
        <v/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/>
      <c r="B16" s="149" t="str">
        <f t="shared" si="1"/>
        <v/>
      </c>
      <c r="C16" s="154"/>
      <c r="D16" s="149" t="str">
        <f t="shared" si="0"/>
        <v/>
      </c>
      <c r="E16" s="201"/>
      <c r="F16" s="149" t="str">
        <f t="shared" si="2"/>
        <v/>
      </c>
      <c r="G16" s="198"/>
      <c r="H16" s="198"/>
      <c r="I16" s="198"/>
      <c r="J16" s="226"/>
      <c r="K16" s="225"/>
      <c r="L16" s="225"/>
      <c r="M16" s="226"/>
      <c r="N16" s="226"/>
      <c r="P16" s="144" t="str">
        <f t="shared" si="3"/>
        <v/>
      </c>
      <c r="Q16" s="144" t="str">
        <f t="shared" si="4"/>
        <v/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>
      <c r="A17" s="154"/>
      <c r="B17" s="149" t="str">
        <f t="shared" si="1"/>
        <v/>
      </c>
      <c r="C17" s="154"/>
      <c r="D17" s="149" t="str">
        <f t="shared" si="0"/>
        <v/>
      </c>
      <c r="E17" s="201"/>
      <c r="F17" s="149" t="str">
        <f t="shared" si="2"/>
        <v/>
      </c>
      <c r="G17" s="198"/>
      <c r="H17" s="198"/>
      <c r="I17" s="198"/>
      <c r="J17" s="226"/>
      <c r="K17" s="225"/>
      <c r="L17" s="225"/>
      <c r="M17" s="226"/>
      <c r="N17" s="226"/>
      <c r="P17" s="144" t="str">
        <f t="shared" si="3"/>
        <v/>
      </c>
      <c r="Q17" s="144" t="str">
        <f t="shared" si="4"/>
        <v/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/>
      <c r="B18" s="149" t="str">
        <f t="shared" si="1"/>
        <v/>
      </c>
      <c r="C18" s="154"/>
      <c r="D18" s="149" t="str">
        <f t="shared" si="0"/>
        <v/>
      </c>
      <c r="E18" s="201"/>
      <c r="F18" s="149" t="str">
        <f t="shared" si="2"/>
        <v/>
      </c>
      <c r="G18" s="198"/>
      <c r="H18" s="198"/>
      <c r="I18" s="198"/>
      <c r="J18" s="226"/>
      <c r="K18" s="225"/>
      <c r="L18" s="225"/>
      <c r="M18" s="226"/>
      <c r="N18" s="226"/>
      <c r="P18" s="144" t="str">
        <f t="shared" si="3"/>
        <v/>
      </c>
      <c r="Q18" s="144" t="str">
        <f t="shared" si="4"/>
        <v/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/>
      <c r="B19" s="149" t="str">
        <f t="shared" si="1"/>
        <v/>
      </c>
      <c r="C19" s="154"/>
      <c r="D19" s="149" t="str">
        <f t="shared" si="0"/>
        <v/>
      </c>
      <c r="E19" s="201"/>
      <c r="F19" s="149" t="str">
        <f t="shared" si="2"/>
        <v/>
      </c>
      <c r="G19" s="198"/>
      <c r="H19" s="198"/>
      <c r="I19" s="198"/>
      <c r="J19" s="226"/>
      <c r="K19" s="225"/>
      <c r="L19" s="225"/>
      <c r="M19" s="226"/>
      <c r="N19" s="226"/>
      <c r="P19" s="144" t="str">
        <f t="shared" si="3"/>
        <v/>
      </c>
      <c r="Q19" s="144" t="str">
        <f t="shared" si="4"/>
        <v/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201"/>
      <c r="F20" s="149" t="str">
        <f t="shared" si="2"/>
        <v/>
      </c>
      <c r="G20" s="198"/>
      <c r="H20" s="198"/>
      <c r="I20" s="198"/>
      <c r="J20" s="226"/>
      <c r="K20" s="225"/>
      <c r="L20" s="225"/>
      <c r="M20" s="226"/>
      <c r="N20" s="22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201"/>
      <c r="F21" s="149" t="str">
        <f t="shared" si="2"/>
        <v/>
      </c>
      <c r="G21" s="198"/>
      <c r="H21" s="198"/>
      <c r="I21" s="198"/>
      <c r="J21" s="226"/>
      <c r="K21" s="225"/>
      <c r="L21" s="225"/>
      <c r="M21" s="226"/>
      <c r="N21" s="22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201"/>
      <c r="F22" s="149" t="str">
        <f t="shared" si="2"/>
        <v/>
      </c>
      <c r="G22" s="198"/>
      <c r="H22" s="198"/>
      <c r="I22" s="198"/>
      <c r="J22" s="226"/>
      <c r="K22" s="225"/>
      <c r="L22" s="225"/>
      <c r="M22" s="226"/>
      <c r="N22" s="22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201"/>
      <c r="F23" s="149" t="str">
        <f t="shared" si="2"/>
        <v/>
      </c>
      <c r="G23" s="198"/>
      <c r="H23" s="198"/>
      <c r="I23" s="198"/>
      <c r="J23" s="226"/>
      <c r="K23" s="225"/>
      <c r="L23" s="225"/>
      <c r="M23" s="226"/>
      <c r="N23" s="22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201"/>
      <c r="F24" s="149" t="str">
        <f t="shared" si="2"/>
        <v/>
      </c>
      <c r="G24" s="198"/>
      <c r="H24" s="198"/>
      <c r="I24" s="198"/>
      <c r="J24" s="226"/>
      <c r="K24" s="225"/>
      <c r="L24" s="225"/>
      <c r="M24" s="226"/>
      <c r="N24" s="22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201"/>
      <c r="F25" s="149" t="str">
        <f t="shared" si="2"/>
        <v/>
      </c>
      <c r="G25" s="198"/>
      <c r="H25" s="198"/>
      <c r="I25" s="198"/>
      <c r="J25" s="226"/>
      <c r="K25" s="225"/>
      <c r="L25" s="225"/>
      <c r="M25" s="226"/>
      <c r="N25" s="22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201"/>
      <c r="F26" s="149" t="str">
        <f t="shared" si="2"/>
        <v/>
      </c>
      <c r="G26" s="198"/>
      <c r="H26" s="198"/>
      <c r="I26" s="198"/>
      <c r="J26" s="226"/>
      <c r="K26" s="225"/>
      <c r="L26" s="225"/>
      <c r="M26" s="226"/>
      <c r="N26" s="22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201"/>
      <c r="F27" s="149" t="str">
        <f t="shared" si="2"/>
        <v/>
      </c>
      <c r="G27" s="198"/>
      <c r="H27" s="198"/>
      <c r="I27" s="198"/>
      <c r="J27" s="226"/>
      <c r="K27" s="225"/>
      <c r="L27" s="225"/>
      <c r="M27" s="226"/>
      <c r="N27" s="22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>
      <c r="A28" s="154"/>
      <c r="B28" s="149" t="str">
        <f t="shared" si="1"/>
        <v/>
      </c>
      <c r="C28" s="154"/>
      <c r="D28" s="149" t="str">
        <f t="shared" si="0"/>
        <v/>
      </c>
      <c r="E28" s="201"/>
      <c r="F28" s="149" t="str">
        <f t="shared" si="2"/>
        <v/>
      </c>
      <c r="G28" s="198"/>
      <c r="H28" s="198"/>
      <c r="I28" s="198"/>
      <c r="J28" s="226"/>
      <c r="K28" s="225"/>
      <c r="L28" s="225"/>
      <c r="M28" s="226"/>
      <c r="N28" s="226"/>
      <c r="P28" s="144" t="str">
        <f t="shared" si="3"/>
        <v/>
      </c>
      <c r="Q28" s="144" t="str">
        <f t="shared" si="4"/>
        <v/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201"/>
      <c r="F29" s="149" t="str">
        <f t="shared" si="2"/>
        <v/>
      </c>
      <c r="G29" s="198"/>
      <c r="H29" s="198"/>
      <c r="I29" s="198"/>
      <c r="J29" s="226"/>
      <c r="K29" s="225"/>
      <c r="L29" s="225"/>
      <c r="M29" s="226"/>
      <c r="N29" s="22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>
      <c r="A30" s="154"/>
      <c r="B30" s="149" t="str">
        <f t="shared" si="1"/>
        <v/>
      </c>
      <c r="C30" s="154"/>
      <c r="D30" s="149" t="str">
        <f t="shared" si="0"/>
        <v/>
      </c>
      <c r="E30" s="201"/>
      <c r="F30" s="149" t="str">
        <f t="shared" si="2"/>
        <v/>
      </c>
      <c r="G30" s="198"/>
      <c r="H30" s="198"/>
      <c r="I30" s="198"/>
      <c r="J30" s="226"/>
      <c r="K30" s="225"/>
      <c r="L30" s="225"/>
      <c r="M30" s="226"/>
      <c r="N30" s="226"/>
      <c r="P30" s="144" t="str">
        <f t="shared" si="3"/>
        <v/>
      </c>
      <c r="Q30" s="144" t="str">
        <f t="shared" si="4"/>
        <v/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/>
      <c r="B31" s="149" t="str">
        <f t="shared" si="1"/>
        <v/>
      </c>
      <c r="C31" s="154"/>
      <c r="D31" s="149" t="str">
        <f t="shared" si="0"/>
        <v/>
      </c>
      <c r="E31" s="201"/>
      <c r="F31" s="149" t="str">
        <f t="shared" si="2"/>
        <v/>
      </c>
      <c r="G31" s="198"/>
      <c r="H31" s="198"/>
      <c r="I31" s="198"/>
      <c r="J31" s="226"/>
      <c r="K31" s="225"/>
      <c r="L31" s="225"/>
      <c r="M31" s="226"/>
      <c r="N31" s="226"/>
      <c r="P31" s="144" t="str">
        <f t="shared" si="3"/>
        <v/>
      </c>
      <c r="Q31" s="144" t="str">
        <f t="shared" si="4"/>
        <v/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/>
      <c r="B32" s="149" t="str">
        <f t="shared" si="1"/>
        <v/>
      </c>
      <c r="C32" s="154"/>
      <c r="D32" s="149" t="str">
        <f t="shared" si="0"/>
        <v/>
      </c>
      <c r="E32" s="201"/>
      <c r="F32" s="149" t="str">
        <f t="shared" si="2"/>
        <v/>
      </c>
      <c r="G32" s="198"/>
      <c r="H32" s="198"/>
      <c r="I32" s="198"/>
      <c r="J32" s="226"/>
      <c r="K32" s="225"/>
      <c r="L32" s="225"/>
      <c r="M32" s="226"/>
      <c r="N32" s="226"/>
      <c r="P32" s="144" t="str">
        <f t="shared" si="3"/>
        <v/>
      </c>
      <c r="Q32" s="144" t="str">
        <f t="shared" si="4"/>
        <v/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/>
      <c r="B33" s="149" t="str">
        <f t="shared" si="1"/>
        <v/>
      </c>
      <c r="C33" s="154"/>
      <c r="D33" s="149" t="str">
        <f t="shared" si="0"/>
        <v/>
      </c>
      <c r="E33" s="201"/>
      <c r="F33" s="149" t="str">
        <f t="shared" si="2"/>
        <v/>
      </c>
      <c r="G33" s="198"/>
      <c r="H33" s="198"/>
      <c r="I33" s="198"/>
      <c r="J33" s="226"/>
      <c r="K33" s="225"/>
      <c r="L33" s="225"/>
      <c r="M33" s="226"/>
      <c r="N33" s="226"/>
      <c r="P33" s="144" t="str">
        <f t="shared" si="3"/>
        <v/>
      </c>
      <c r="Q33" s="144" t="str">
        <f t="shared" si="4"/>
        <v/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/>
      <c r="B34" s="149" t="str">
        <f t="shared" si="1"/>
        <v/>
      </c>
      <c r="C34" s="154"/>
      <c r="D34" s="149" t="str">
        <f t="shared" si="0"/>
        <v/>
      </c>
      <c r="E34" s="201"/>
      <c r="F34" s="149" t="str">
        <f t="shared" si="2"/>
        <v/>
      </c>
      <c r="G34" s="198"/>
      <c r="H34" s="198"/>
      <c r="I34" s="198"/>
      <c r="J34" s="226"/>
      <c r="K34" s="225"/>
      <c r="L34" s="225"/>
      <c r="M34" s="226"/>
      <c r="N34" s="226"/>
      <c r="P34" s="144" t="str">
        <f t="shared" si="3"/>
        <v/>
      </c>
      <c r="Q34" s="144" t="str">
        <f t="shared" si="4"/>
        <v/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>
      <c r="A35" s="154"/>
      <c r="B35" s="149" t="str">
        <f t="shared" si="1"/>
        <v/>
      </c>
      <c r="C35" s="154"/>
      <c r="D35" s="149" t="str">
        <f t="shared" si="0"/>
        <v/>
      </c>
      <c r="E35" s="201"/>
      <c r="F35" s="149" t="str">
        <f t="shared" si="2"/>
        <v/>
      </c>
      <c r="G35" s="198"/>
      <c r="H35" s="198"/>
      <c r="I35" s="198"/>
      <c r="J35" s="226"/>
      <c r="K35" s="225"/>
      <c r="L35" s="225"/>
      <c r="M35" s="226"/>
      <c r="N35" s="226"/>
      <c r="P35" s="144" t="str">
        <f t="shared" si="3"/>
        <v/>
      </c>
      <c r="Q35" s="144" t="str">
        <f t="shared" si="4"/>
        <v/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>
      <c r="A36" s="154"/>
      <c r="B36" s="149" t="str">
        <f t="shared" si="1"/>
        <v/>
      </c>
      <c r="C36" s="154"/>
      <c r="D36" s="149" t="str">
        <f t="shared" si="0"/>
        <v/>
      </c>
      <c r="E36" s="201"/>
      <c r="F36" s="149" t="str">
        <f t="shared" si="2"/>
        <v/>
      </c>
      <c r="G36" s="198"/>
      <c r="H36" s="198"/>
      <c r="I36" s="198"/>
      <c r="J36" s="226"/>
      <c r="K36" s="225"/>
      <c r="L36" s="225"/>
      <c r="M36" s="226"/>
      <c r="N36" s="226"/>
      <c r="P36" s="144" t="str">
        <f t="shared" si="3"/>
        <v/>
      </c>
      <c r="Q36" s="144" t="str">
        <f t="shared" si="4"/>
        <v/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>
      <c r="A37" s="154"/>
      <c r="B37" s="149" t="str">
        <f t="shared" si="1"/>
        <v/>
      </c>
      <c r="C37" s="154"/>
      <c r="D37" s="149" t="str">
        <f t="shared" si="0"/>
        <v/>
      </c>
      <c r="E37" s="201"/>
      <c r="F37" s="149" t="str">
        <f t="shared" si="2"/>
        <v/>
      </c>
      <c r="G37" s="198"/>
      <c r="H37" s="198"/>
      <c r="I37" s="198"/>
      <c r="J37" s="226"/>
      <c r="K37" s="225"/>
      <c r="L37" s="225"/>
      <c r="M37" s="226"/>
      <c r="N37" s="226"/>
      <c r="P37" s="144" t="str">
        <f t="shared" si="3"/>
        <v/>
      </c>
      <c r="Q37" s="144" t="str">
        <f t="shared" si="4"/>
        <v/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>
      <c r="A38" s="154"/>
      <c r="B38" s="149" t="str">
        <f t="shared" si="1"/>
        <v/>
      </c>
      <c r="C38" s="154"/>
      <c r="D38" s="149" t="str">
        <f t="shared" si="0"/>
        <v/>
      </c>
      <c r="E38" s="201"/>
      <c r="F38" s="149" t="str">
        <f t="shared" si="2"/>
        <v/>
      </c>
      <c r="G38" s="198"/>
      <c r="H38" s="198"/>
      <c r="I38" s="198"/>
      <c r="J38" s="226"/>
      <c r="K38" s="225"/>
      <c r="L38" s="225"/>
      <c r="M38" s="226"/>
      <c r="N38" s="226"/>
      <c r="P38" s="144" t="str">
        <f t="shared" si="3"/>
        <v/>
      </c>
      <c r="Q38" s="144" t="str">
        <f t="shared" si="4"/>
        <v/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>
      <c r="A39" s="154"/>
      <c r="B39" s="149" t="str">
        <f t="shared" si="1"/>
        <v/>
      </c>
      <c r="C39" s="154"/>
      <c r="D39" s="149" t="str">
        <f t="shared" si="0"/>
        <v/>
      </c>
      <c r="E39" s="201"/>
      <c r="F39" s="149" t="str">
        <f t="shared" si="2"/>
        <v/>
      </c>
      <c r="G39" s="198"/>
      <c r="H39" s="198"/>
      <c r="I39" s="198"/>
      <c r="J39" s="226"/>
      <c r="K39" s="225"/>
      <c r="L39" s="225"/>
      <c r="M39" s="226"/>
      <c r="N39" s="226"/>
      <c r="P39" s="144" t="str">
        <f t="shared" si="3"/>
        <v/>
      </c>
      <c r="Q39" s="144" t="str">
        <f t="shared" si="4"/>
        <v/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>
      <c r="A40" s="154"/>
      <c r="B40" s="149" t="str">
        <f t="shared" si="1"/>
        <v/>
      </c>
      <c r="C40" s="154"/>
      <c r="D40" s="149" t="str">
        <f t="shared" si="0"/>
        <v/>
      </c>
      <c r="E40" s="201"/>
      <c r="F40" s="149" t="str">
        <f t="shared" si="2"/>
        <v/>
      </c>
      <c r="G40" s="198"/>
      <c r="H40" s="198"/>
      <c r="I40" s="198"/>
      <c r="J40" s="226"/>
      <c r="K40" s="225"/>
      <c r="L40" s="225"/>
      <c r="M40" s="226"/>
      <c r="N40" s="226"/>
      <c r="P40" s="144" t="str">
        <f t="shared" si="3"/>
        <v/>
      </c>
      <c r="Q40" s="144" t="str">
        <f t="shared" si="4"/>
        <v/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>
      <c r="A41" s="154"/>
      <c r="B41" s="149" t="str">
        <f t="shared" si="1"/>
        <v/>
      </c>
      <c r="C41" s="154"/>
      <c r="D41" s="149" t="str">
        <f t="shared" si="0"/>
        <v/>
      </c>
      <c r="E41" s="201"/>
      <c r="F41" s="149" t="str">
        <f t="shared" si="2"/>
        <v/>
      </c>
      <c r="G41" s="198"/>
      <c r="H41" s="198"/>
      <c r="I41" s="198"/>
      <c r="J41" s="226"/>
      <c r="K41" s="225"/>
      <c r="L41" s="225"/>
      <c r="M41" s="226"/>
      <c r="N41" s="226"/>
      <c r="P41" s="144" t="str">
        <f t="shared" si="3"/>
        <v/>
      </c>
      <c r="Q41" s="144" t="str">
        <f t="shared" si="4"/>
        <v/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>
      <c r="A42" s="154"/>
      <c r="B42" s="149" t="str">
        <f t="shared" si="1"/>
        <v/>
      </c>
      <c r="C42" s="154"/>
      <c r="D42" s="149" t="str">
        <f t="shared" si="0"/>
        <v/>
      </c>
      <c r="E42" s="201"/>
      <c r="F42" s="149" t="str">
        <f t="shared" si="2"/>
        <v/>
      </c>
      <c r="G42" s="198"/>
      <c r="H42" s="198"/>
      <c r="I42" s="198"/>
      <c r="J42" s="226"/>
      <c r="K42" s="225"/>
      <c r="L42" s="225"/>
      <c r="M42" s="226"/>
      <c r="N42" s="226"/>
      <c r="P42" s="144" t="str">
        <f t="shared" si="3"/>
        <v/>
      </c>
      <c r="Q42" s="144" t="str">
        <f t="shared" si="4"/>
        <v/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>
      <c r="A43" s="154"/>
      <c r="B43" s="149" t="str">
        <f t="shared" si="1"/>
        <v/>
      </c>
      <c r="C43" s="154"/>
      <c r="D43" s="149" t="str">
        <f t="shared" si="0"/>
        <v/>
      </c>
      <c r="E43" s="201"/>
      <c r="F43" s="149" t="str">
        <f t="shared" si="2"/>
        <v/>
      </c>
      <c r="G43" s="198"/>
      <c r="H43" s="198"/>
      <c r="I43" s="198"/>
      <c r="J43" s="226"/>
      <c r="K43" s="225"/>
      <c r="L43" s="225"/>
      <c r="M43" s="226"/>
      <c r="N43" s="226"/>
      <c r="P43" s="144" t="str">
        <f t="shared" si="3"/>
        <v/>
      </c>
      <c r="Q43" s="144" t="str">
        <f t="shared" si="4"/>
        <v/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>
      <c r="A44" s="154"/>
      <c r="B44" s="149" t="str">
        <f t="shared" si="1"/>
        <v/>
      </c>
      <c r="C44" s="154"/>
      <c r="D44" s="149" t="str">
        <f t="shared" si="0"/>
        <v/>
      </c>
      <c r="E44" s="201"/>
      <c r="F44" s="149" t="str">
        <f t="shared" si="2"/>
        <v/>
      </c>
      <c r="G44" s="198"/>
      <c r="H44" s="198"/>
      <c r="I44" s="198"/>
      <c r="J44" s="226"/>
      <c r="K44" s="225"/>
      <c r="L44" s="225"/>
      <c r="M44" s="226"/>
      <c r="N44" s="226"/>
      <c r="P44" s="144" t="str">
        <f t="shared" si="3"/>
        <v/>
      </c>
      <c r="Q44" s="144" t="str">
        <f t="shared" si="4"/>
        <v/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>
      <c r="A45" s="154"/>
      <c r="B45" s="149" t="str">
        <f t="shared" si="1"/>
        <v/>
      </c>
      <c r="C45" s="154"/>
      <c r="D45" s="149" t="str">
        <f t="shared" si="0"/>
        <v/>
      </c>
      <c r="E45" s="201"/>
      <c r="F45" s="149" t="str">
        <f t="shared" si="2"/>
        <v/>
      </c>
      <c r="G45" s="198"/>
      <c r="H45" s="198"/>
      <c r="I45" s="198"/>
      <c r="J45" s="226"/>
      <c r="K45" s="225"/>
      <c r="L45" s="225"/>
      <c r="M45" s="226"/>
      <c r="N45" s="226"/>
      <c r="P45" s="144" t="str">
        <f t="shared" si="3"/>
        <v/>
      </c>
      <c r="Q45" s="144" t="str">
        <f t="shared" si="4"/>
        <v/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>
      <c r="A46" s="154"/>
      <c r="B46" s="149" t="str">
        <f t="shared" si="1"/>
        <v/>
      </c>
      <c r="C46" s="154"/>
      <c r="D46" s="149" t="str">
        <f t="shared" si="0"/>
        <v/>
      </c>
      <c r="E46" s="201"/>
      <c r="F46" s="149" t="str">
        <f t="shared" si="2"/>
        <v/>
      </c>
      <c r="G46" s="198"/>
      <c r="H46" s="198"/>
      <c r="I46" s="198"/>
      <c r="J46" s="226"/>
      <c r="K46" s="225"/>
      <c r="L46" s="225"/>
      <c r="M46" s="226"/>
      <c r="N46" s="226"/>
      <c r="P46" s="144" t="str">
        <f t="shared" si="3"/>
        <v/>
      </c>
      <c r="Q46" s="144" t="str">
        <f t="shared" si="4"/>
        <v/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>
      <c r="A47" s="154"/>
      <c r="B47" s="149" t="str">
        <f t="shared" si="1"/>
        <v/>
      </c>
      <c r="C47" s="154"/>
      <c r="D47" s="149" t="str">
        <f t="shared" si="0"/>
        <v/>
      </c>
      <c r="E47" s="201"/>
      <c r="F47" s="149" t="str">
        <f t="shared" si="2"/>
        <v/>
      </c>
      <c r="G47" s="198"/>
      <c r="H47" s="198"/>
      <c r="I47" s="198"/>
      <c r="J47" s="226"/>
      <c r="K47" s="225"/>
      <c r="L47" s="225"/>
      <c r="M47" s="226"/>
      <c r="N47" s="226"/>
      <c r="P47" s="144" t="str">
        <f t="shared" si="3"/>
        <v/>
      </c>
      <c r="Q47" s="144" t="str">
        <f t="shared" si="4"/>
        <v/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>
      <c r="A48" s="154"/>
      <c r="B48" s="149" t="str">
        <f t="shared" si="1"/>
        <v/>
      </c>
      <c r="C48" s="154"/>
      <c r="D48" s="149" t="str">
        <f t="shared" si="0"/>
        <v/>
      </c>
      <c r="E48" s="201"/>
      <c r="F48" s="149" t="str">
        <f t="shared" si="2"/>
        <v/>
      </c>
      <c r="G48" s="198"/>
      <c r="H48" s="198"/>
      <c r="I48" s="198"/>
      <c r="J48" s="226"/>
      <c r="K48" s="225"/>
      <c r="L48" s="225"/>
      <c r="M48" s="226"/>
      <c r="N48" s="226"/>
      <c r="P48" s="144" t="str">
        <f t="shared" si="3"/>
        <v/>
      </c>
      <c r="Q48" s="144" t="str">
        <f t="shared" si="4"/>
        <v/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201"/>
      <c r="F49" s="149" t="str">
        <f t="shared" si="2"/>
        <v/>
      </c>
      <c r="G49" s="198"/>
      <c r="H49" s="198"/>
      <c r="I49" s="198"/>
      <c r="J49" s="226"/>
      <c r="K49" s="225"/>
      <c r="L49" s="225"/>
      <c r="M49" s="226"/>
      <c r="N49" s="22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201"/>
      <c r="F50" s="149" t="str">
        <f t="shared" si="2"/>
        <v/>
      </c>
      <c r="G50" s="198"/>
      <c r="H50" s="198"/>
      <c r="I50" s="198"/>
      <c r="J50" s="226"/>
      <c r="K50" s="225"/>
      <c r="L50" s="225"/>
      <c r="M50" s="226"/>
      <c r="N50" s="22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>
      <c r="A51" s="154"/>
      <c r="B51" s="149" t="str">
        <f t="shared" si="1"/>
        <v/>
      </c>
      <c r="C51" s="154"/>
      <c r="D51" s="149" t="str">
        <f t="shared" si="0"/>
        <v/>
      </c>
      <c r="E51" s="201"/>
      <c r="F51" s="149" t="str">
        <f t="shared" si="2"/>
        <v/>
      </c>
      <c r="G51" s="198"/>
      <c r="H51" s="198"/>
      <c r="I51" s="198"/>
      <c r="J51" s="226"/>
      <c r="K51" s="225"/>
      <c r="L51" s="225"/>
      <c r="M51" s="226"/>
      <c r="N51" s="226"/>
      <c r="P51" s="144" t="str">
        <f t="shared" si="3"/>
        <v/>
      </c>
      <c r="Q51" s="144" t="str">
        <f t="shared" si="4"/>
        <v/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/>
      <c r="B52" s="149" t="str">
        <f t="shared" si="1"/>
        <v/>
      </c>
      <c r="C52" s="154"/>
      <c r="D52" s="149" t="str">
        <f t="shared" si="0"/>
        <v/>
      </c>
      <c r="E52" s="201"/>
      <c r="F52" s="149" t="str">
        <f t="shared" si="2"/>
        <v/>
      </c>
      <c r="G52" s="198"/>
      <c r="H52" s="198"/>
      <c r="I52" s="198"/>
      <c r="J52" s="226"/>
      <c r="K52" s="225"/>
      <c r="L52" s="225"/>
      <c r="M52" s="226"/>
      <c r="N52" s="226"/>
      <c r="P52" s="144" t="str">
        <f t="shared" si="3"/>
        <v/>
      </c>
      <c r="Q52" s="144" t="str">
        <f t="shared" si="4"/>
        <v/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/>
      <c r="B53" s="149" t="str">
        <f t="shared" si="1"/>
        <v/>
      </c>
      <c r="C53" s="154"/>
      <c r="D53" s="149" t="str">
        <f t="shared" si="0"/>
        <v/>
      </c>
      <c r="E53" s="201"/>
      <c r="F53" s="149" t="str">
        <f t="shared" si="2"/>
        <v/>
      </c>
      <c r="G53" s="198"/>
      <c r="H53" s="198"/>
      <c r="I53" s="198"/>
      <c r="J53" s="226"/>
      <c r="K53" s="225"/>
      <c r="L53" s="225"/>
      <c r="M53" s="226"/>
      <c r="N53" s="226"/>
      <c r="P53" s="144" t="str">
        <f t="shared" si="3"/>
        <v/>
      </c>
      <c r="Q53" s="144" t="str">
        <f t="shared" si="4"/>
        <v/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/>
      <c r="B54" s="149" t="str">
        <f t="shared" si="1"/>
        <v/>
      </c>
      <c r="C54" s="154"/>
      <c r="D54" s="149" t="str">
        <f t="shared" si="0"/>
        <v/>
      </c>
      <c r="E54" s="201"/>
      <c r="F54" s="149" t="str">
        <f t="shared" si="2"/>
        <v/>
      </c>
      <c r="G54" s="198"/>
      <c r="H54" s="198"/>
      <c r="I54" s="198"/>
      <c r="J54" s="226"/>
      <c r="K54" s="225"/>
      <c r="L54" s="225"/>
      <c r="M54" s="226"/>
      <c r="N54" s="226"/>
      <c r="P54" s="144" t="str">
        <f t="shared" si="3"/>
        <v/>
      </c>
      <c r="Q54" s="144" t="str">
        <f t="shared" si="4"/>
        <v/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/>
      <c r="B55" s="149" t="str">
        <f t="shared" si="1"/>
        <v/>
      </c>
      <c r="C55" s="154"/>
      <c r="D55" s="149" t="str">
        <f t="shared" si="0"/>
        <v/>
      </c>
      <c r="E55" s="201"/>
      <c r="F55" s="149" t="str">
        <f t="shared" si="2"/>
        <v/>
      </c>
      <c r="G55" s="198"/>
      <c r="H55" s="198"/>
      <c r="I55" s="198"/>
      <c r="J55" s="226"/>
      <c r="K55" s="225"/>
      <c r="L55" s="225"/>
      <c r="M55" s="226"/>
      <c r="N55" s="226"/>
      <c r="P55" s="144" t="str">
        <f t="shared" si="3"/>
        <v/>
      </c>
      <c r="Q55" s="144" t="str">
        <f t="shared" si="4"/>
        <v/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/>
      <c r="B56" s="149" t="str">
        <f t="shared" si="1"/>
        <v/>
      </c>
      <c r="C56" s="154"/>
      <c r="D56" s="149" t="str">
        <f t="shared" si="0"/>
        <v/>
      </c>
      <c r="E56" s="201"/>
      <c r="F56" s="149" t="str">
        <f t="shared" si="2"/>
        <v/>
      </c>
      <c r="G56" s="198"/>
      <c r="H56" s="198"/>
      <c r="I56" s="198"/>
      <c r="J56" s="226"/>
      <c r="K56" s="225"/>
      <c r="L56" s="225"/>
      <c r="M56" s="226"/>
      <c r="N56" s="226"/>
      <c r="P56" s="144" t="str">
        <f t="shared" si="3"/>
        <v/>
      </c>
      <c r="Q56" s="144" t="str">
        <f t="shared" si="4"/>
        <v/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/>
      <c r="B57" s="149" t="str">
        <f t="shared" si="1"/>
        <v/>
      </c>
      <c r="C57" s="154"/>
      <c r="D57" s="149" t="str">
        <f t="shared" si="0"/>
        <v/>
      </c>
      <c r="E57" s="201"/>
      <c r="F57" s="149" t="str">
        <f t="shared" si="2"/>
        <v/>
      </c>
      <c r="G57" s="198"/>
      <c r="H57" s="198"/>
      <c r="I57" s="198"/>
      <c r="J57" s="226"/>
      <c r="K57" s="225"/>
      <c r="L57" s="225"/>
      <c r="M57" s="226"/>
      <c r="N57" s="226"/>
      <c r="P57" s="144" t="str">
        <f t="shared" si="3"/>
        <v/>
      </c>
      <c r="Q57" s="144" t="str">
        <f t="shared" si="4"/>
        <v/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/>
      <c r="B58" s="149" t="str">
        <f t="shared" si="1"/>
        <v/>
      </c>
      <c r="C58" s="154"/>
      <c r="D58" s="149" t="str">
        <f t="shared" si="0"/>
        <v/>
      </c>
      <c r="E58" s="201"/>
      <c r="F58" s="149" t="str">
        <f t="shared" si="2"/>
        <v/>
      </c>
      <c r="G58" s="198"/>
      <c r="H58" s="198"/>
      <c r="I58" s="198"/>
      <c r="J58" s="226"/>
      <c r="K58" s="225"/>
      <c r="L58" s="225"/>
      <c r="M58" s="226"/>
      <c r="N58" s="226"/>
      <c r="P58" s="144" t="str">
        <f t="shared" si="3"/>
        <v/>
      </c>
      <c r="Q58" s="144" t="str">
        <f t="shared" si="4"/>
        <v/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/>
      <c r="B59" s="149" t="str">
        <f t="shared" si="1"/>
        <v/>
      </c>
      <c r="C59" s="154"/>
      <c r="D59" s="149" t="str">
        <f t="shared" si="0"/>
        <v/>
      </c>
      <c r="E59" s="201"/>
      <c r="F59" s="149" t="str">
        <f t="shared" si="2"/>
        <v/>
      </c>
      <c r="G59" s="198"/>
      <c r="H59" s="198"/>
      <c r="I59" s="198"/>
      <c r="J59" s="226"/>
      <c r="K59" s="225"/>
      <c r="L59" s="225"/>
      <c r="M59" s="226"/>
      <c r="N59" s="226"/>
      <c r="P59" s="144" t="str">
        <f t="shared" si="3"/>
        <v/>
      </c>
      <c r="Q59" s="144" t="str">
        <f t="shared" si="4"/>
        <v/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/>
      <c r="B60" s="149" t="str">
        <f t="shared" si="1"/>
        <v/>
      </c>
      <c r="C60" s="154"/>
      <c r="D60" s="149" t="str">
        <f t="shared" si="0"/>
        <v/>
      </c>
      <c r="E60" s="201"/>
      <c r="F60" s="149" t="str">
        <f t="shared" si="2"/>
        <v/>
      </c>
      <c r="G60" s="198"/>
      <c r="H60" s="198"/>
      <c r="I60" s="198"/>
      <c r="J60" s="226"/>
      <c r="K60" s="225"/>
      <c r="L60" s="225"/>
      <c r="M60" s="226"/>
      <c r="N60" s="226"/>
      <c r="P60" s="144" t="str">
        <f t="shared" si="3"/>
        <v/>
      </c>
      <c r="Q60" s="144" t="str">
        <f t="shared" si="4"/>
        <v/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/>
      <c r="B61" s="149" t="str">
        <f t="shared" si="1"/>
        <v/>
      </c>
      <c r="C61" s="154"/>
      <c r="D61" s="149" t="str">
        <f t="shared" si="0"/>
        <v/>
      </c>
      <c r="E61" s="201"/>
      <c r="F61" s="149" t="str">
        <f t="shared" si="2"/>
        <v/>
      </c>
      <c r="G61" s="198"/>
      <c r="H61" s="198"/>
      <c r="I61" s="198"/>
      <c r="J61" s="226"/>
      <c r="K61" s="225"/>
      <c r="L61" s="225"/>
      <c r="M61" s="226"/>
      <c r="N61" s="226"/>
      <c r="P61" s="144" t="str">
        <f t="shared" si="3"/>
        <v/>
      </c>
      <c r="Q61" s="144" t="str">
        <f t="shared" si="4"/>
        <v/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/>
      <c r="B62" s="149" t="str">
        <f t="shared" si="1"/>
        <v/>
      </c>
      <c r="C62" s="154"/>
      <c r="D62" s="149" t="str">
        <f t="shared" si="0"/>
        <v/>
      </c>
      <c r="E62" s="201"/>
      <c r="F62" s="149" t="str">
        <f t="shared" si="2"/>
        <v/>
      </c>
      <c r="G62" s="198"/>
      <c r="H62" s="198"/>
      <c r="I62" s="198"/>
      <c r="J62" s="226"/>
      <c r="K62" s="225"/>
      <c r="L62" s="225"/>
      <c r="M62" s="226"/>
      <c r="N62" s="226"/>
      <c r="P62" s="144" t="str">
        <f t="shared" si="3"/>
        <v/>
      </c>
      <c r="Q62" s="144" t="str">
        <f t="shared" si="4"/>
        <v/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/>
      <c r="B63" s="149" t="str">
        <f t="shared" si="1"/>
        <v/>
      </c>
      <c r="C63" s="154"/>
      <c r="D63" s="149" t="str">
        <f t="shared" si="0"/>
        <v/>
      </c>
      <c r="E63" s="201"/>
      <c r="F63" s="149" t="str">
        <f t="shared" si="2"/>
        <v/>
      </c>
      <c r="G63" s="198"/>
      <c r="H63" s="198"/>
      <c r="I63" s="198"/>
      <c r="J63" s="226"/>
      <c r="K63" s="225"/>
      <c r="L63" s="225"/>
      <c r="M63" s="226"/>
      <c r="N63" s="226"/>
      <c r="P63" s="144" t="str">
        <f t="shared" si="3"/>
        <v/>
      </c>
      <c r="Q63" s="144" t="str">
        <f t="shared" si="4"/>
        <v/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/>
      <c r="B64" s="149" t="str">
        <f t="shared" si="1"/>
        <v/>
      </c>
      <c r="C64" s="154"/>
      <c r="D64" s="149" t="str">
        <f t="shared" si="0"/>
        <v/>
      </c>
      <c r="E64" s="201"/>
      <c r="F64" s="149" t="str">
        <f t="shared" si="2"/>
        <v/>
      </c>
      <c r="G64" s="198"/>
      <c r="H64" s="198"/>
      <c r="I64" s="198"/>
      <c r="J64" s="226"/>
      <c r="K64" s="225"/>
      <c r="L64" s="225"/>
      <c r="M64" s="226"/>
      <c r="N64" s="226"/>
      <c r="P64" s="144" t="str">
        <f t="shared" si="3"/>
        <v/>
      </c>
      <c r="Q64" s="144" t="str">
        <f t="shared" si="4"/>
        <v/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201"/>
      <c r="F65" s="149" t="str">
        <f t="shared" si="2"/>
        <v/>
      </c>
      <c r="G65" s="198"/>
      <c r="H65" s="198"/>
      <c r="I65" s="198"/>
      <c r="J65" s="226"/>
      <c r="K65" s="225"/>
      <c r="L65" s="225"/>
      <c r="M65" s="226"/>
      <c r="N65" s="22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201"/>
      <c r="F66" s="149" t="str">
        <f t="shared" si="2"/>
        <v/>
      </c>
      <c r="G66" s="198"/>
      <c r="H66" s="198"/>
      <c r="I66" s="198"/>
      <c r="J66" s="226"/>
      <c r="K66" s="225"/>
      <c r="L66" s="225"/>
      <c r="M66" s="226"/>
      <c r="N66" s="22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201"/>
      <c r="F67" s="149" t="str">
        <f t="shared" si="2"/>
        <v/>
      </c>
      <c r="G67" s="198"/>
      <c r="H67" s="198"/>
      <c r="I67" s="198"/>
      <c r="J67" s="226"/>
      <c r="K67" s="225"/>
      <c r="L67" s="225"/>
      <c r="M67" s="226"/>
      <c r="N67" s="22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201"/>
      <c r="F68" s="149" t="str">
        <f t="shared" ref="F68:F131" si="9">IFERROR(VLOOKUP(E68,$AA$6:$AB$200,2,FALSE),"")</f>
        <v/>
      </c>
      <c r="G68" s="198"/>
      <c r="H68" s="198"/>
      <c r="I68" s="198"/>
      <c r="J68" s="226"/>
      <c r="K68" s="225"/>
      <c r="L68" s="225"/>
      <c r="M68" s="226"/>
      <c r="N68" s="22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201"/>
      <c r="F69" s="149" t="str">
        <f t="shared" si="9"/>
        <v/>
      </c>
      <c r="G69" s="198"/>
      <c r="H69" s="198"/>
      <c r="I69" s="198"/>
      <c r="J69" s="226"/>
      <c r="K69" s="225"/>
      <c r="L69" s="225"/>
      <c r="M69" s="226"/>
      <c r="N69" s="22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201"/>
      <c r="F70" s="149" t="str">
        <f t="shared" si="9"/>
        <v/>
      </c>
      <c r="G70" s="198"/>
      <c r="H70" s="198"/>
      <c r="I70" s="198"/>
      <c r="J70" s="226"/>
      <c r="K70" s="225"/>
      <c r="L70" s="225"/>
      <c r="M70" s="226"/>
      <c r="N70" s="22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201"/>
      <c r="F71" s="149" t="str">
        <f t="shared" si="9"/>
        <v/>
      </c>
      <c r="G71" s="198"/>
      <c r="H71" s="198"/>
      <c r="I71" s="198"/>
      <c r="J71" s="226"/>
      <c r="K71" s="225"/>
      <c r="L71" s="225"/>
      <c r="M71" s="226"/>
      <c r="N71" s="22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201"/>
      <c r="F72" s="149" t="str">
        <f t="shared" si="9"/>
        <v/>
      </c>
      <c r="G72" s="198"/>
      <c r="H72" s="198"/>
      <c r="I72" s="198"/>
      <c r="J72" s="226"/>
      <c r="K72" s="225"/>
      <c r="L72" s="225"/>
      <c r="M72" s="226"/>
      <c r="N72" s="22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201"/>
      <c r="F73" s="149" t="str">
        <f t="shared" si="9"/>
        <v/>
      </c>
      <c r="G73" s="198"/>
      <c r="H73" s="198"/>
      <c r="I73" s="198"/>
      <c r="J73" s="226"/>
      <c r="K73" s="225"/>
      <c r="L73" s="225"/>
      <c r="M73" s="226"/>
      <c r="N73" s="22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201"/>
      <c r="F74" s="149" t="str">
        <f t="shared" si="9"/>
        <v/>
      </c>
      <c r="G74" s="198"/>
      <c r="H74" s="198"/>
      <c r="I74" s="198"/>
      <c r="J74" s="226"/>
      <c r="K74" s="225"/>
      <c r="L74" s="225"/>
      <c r="M74" s="226"/>
      <c r="N74" s="22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workbookViewId="0">
      <selection activeCell="B49" sqref="B49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workbookViewId="0">
      <selection activeCell="G8" sqref="G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Dubravka Granić</cp:lastModifiedBy>
  <cp:lastPrinted>2018-09-13T07:01:06Z</cp:lastPrinted>
  <dcterms:created xsi:type="dcterms:W3CDTF">2018-09-10T07:36:17Z</dcterms:created>
  <dcterms:modified xsi:type="dcterms:W3CDTF">2019-10-09T12:24:18Z</dcterms:modified>
</cp:coreProperties>
</file>